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omments9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omments10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omments11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34602\專案\Android_Project\JamesDSPManager\"/>
    </mc:Choice>
  </mc:AlternateContent>
  <bookViews>
    <workbookView xWindow="0" yWindow="0" windowWidth="8690" windowHeight="8840" tabRatio="515" firstSheet="1" activeTab="1"/>
  </bookViews>
  <sheets>
    <sheet name="LT" sheetId="1" r:id="rId1"/>
    <sheet name="LPF" sheetId="2" r:id="rId2"/>
    <sheet name="BPF1" sheetId="5" r:id="rId3"/>
    <sheet name="BPF2" sheetId="11" r:id="rId4"/>
    <sheet name="notch" sheetId="12" r:id="rId5"/>
    <sheet name="APF" sheetId="8" r:id="rId6"/>
    <sheet name="PeakingEQ" sheetId="13" r:id="rId7"/>
    <sheet name="HPF" sheetId="4" r:id="rId8"/>
    <sheet name="lowShelf" sheetId="14" r:id="rId9"/>
    <sheet name="highShelf" sheetId="15" r:id="rId10"/>
    <sheet name="RIAA" sheetId="10" r:id="rId11"/>
    <sheet name="Blad3" sheetId="3" r:id="rId12"/>
  </sheets>
  <definedNames>
    <definedName name="grafiek_labels">LT!$S$6:$V$6</definedName>
  </definedNames>
  <calcPr calcId="162913"/>
</workbook>
</file>

<file path=xl/calcChain.xml><?xml version="1.0" encoding="utf-8"?>
<calcChain xmlns="http://schemas.openxmlformats.org/spreadsheetml/2006/main">
  <c r="B22" i="8" l="1"/>
  <c r="AB4" i="8"/>
  <c r="AB2" i="8" s="1"/>
  <c r="B22" i="15"/>
  <c r="B21" i="15"/>
  <c r="T8" i="15"/>
  <c r="B22" i="14"/>
  <c r="B23" i="14"/>
  <c r="B21" i="14"/>
  <c r="B21" i="13"/>
  <c r="B22" i="13"/>
  <c r="B23" i="13"/>
  <c r="B24" i="13" s="1"/>
  <c r="B16" i="13" s="1"/>
  <c r="B15" i="13"/>
  <c r="B22" i="11"/>
  <c r="AB4" i="11"/>
  <c r="AB5" i="11" s="1"/>
  <c r="AB3" i="11" s="1"/>
  <c r="AB2" i="11"/>
  <c r="AB4" i="5"/>
  <c r="AB3" i="5" s="1"/>
  <c r="B22" i="5"/>
  <c r="AB5" i="5" s="1"/>
  <c r="Z1" i="5" s="1"/>
  <c r="Z3" i="5"/>
  <c r="B23" i="12"/>
  <c r="AB2" i="12"/>
  <c r="B22" i="12"/>
  <c r="AB4" i="12"/>
  <c r="T8" i="5"/>
  <c r="T8" i="11"/>
  <c r="B22" i="4"/>
  <c r="B23" i="4" s="1"/>
  <c r="AB2" i="4"/>
  <c r="AB3" i="4"/>
  <c r="AB1" i="4"/>
  <c r="T8" i="14"/>
  <c r="T8" i="13"/>
  <c r="T8" i="8"/>
  <c r="AB4" i="4"/>
  <c r="T8" i="4"/>
  <c r="S9" i="4"/>
  <c r="T9" i="4" s="1"/>
  <c r="AC5" i="15"/>
  <c r="AC4" i="15"/>
  <c r="AC3" i="15"/>
  <c r="AC2" i="15"/>
  <c r="AC1" i="15"/>
  <c r="AC5" i="14"/>
  <c r="AC4" i="14"/>
  <c r="AC3" i="14"/>
  <c r="AC2" i="14"/>
  <c r="AC1" i="14"/>
  <c r="AB5" i="8"/>
  <c r="AB1" i="8"/>
  <c r="AB5" i="12"/>
  <c r="AB5" i="4"/>
  <c r="AB4" i="2"/>
  <c r="AB3" i="2" s="1"/>
  <c r="B22" i="2"/>
  <c r="T8" i="2"/>
  <c r="B11" i="1"/>
  <c r="B34" i="1"/>
  <c r="B30" i="1"/>
  <c r="B31" i="1"/>
  <c r="U8" i="15"/>
  <c r="S9" i="15"/>
  <c r="T9" i="15" s="1"/>
  <c r="U9" i="15" s="1"/>
  <c r="S10" i="15"/>
  <c r="T10" i="15" s="1"/>
  <c r="U10" i="15" s="1"/>
  <c r="S11" i="15"/>
  <c r="U8" i="14"/>
  <c r="S9" i="14"/>
  <c r="T9" i="14" s="1"/>
  <c r="U9" i="14" s="1"/>
  <c r="S10" i="14"/>
  <c r="T10" i="14" s="1"/>
  <c r="U10" i="14" s="1"/>
  <c r="AG5" i="13"/>
  <c r="U8" i="13"/>
  <c r="S9" i="13"/>
  <c r="T9" i="13" s="1"/>
  <c r="U9" i="13" s="1"/>
  <c r="S10" i="13"/>
  <c r="T10" i="13" s="1"/>
  <c r="U10" i="13" s="1"/>
  <c r="T8" i="12"/>
  <c r="U8" i="12" s="1"/>
  <c r="S9" i="12"/>
  <c r="T9" i="12"/>
  <c r="U9" i="12" s="1"/>
  <c r="S10" i="12"/>
  <c r="T10" i="12" s="1"/>
  <c r="U10" i="12" s="1"/>
  <c r="S11" i="12"/>
  <c r="T11" i="12" s="1"/>
  <c r="U11" i="12" s="1"/>
  <c r="S12" i="12"/>
  <c r="T12" i="12" s="1"/>
  <c r="U12" i="12" s="1"/>
  <c r="S13" i="12"/>
  <c r="T13" i="12" s="1"/>
  <c r="U13" i="12" s="1"/>
  <c r="S14" i="12"/>
  <c r="T14" i="12" s="1"/>
  <c r="U14" i="12" s="1"/>
  <c r="S15" i="12"/>
  <c r="T15" i="12" s="1"/>
  <c r="U15" i="12" s="1"/>
  <c r="S16" i="12"/>
  <c r="T16" i="12" s="1"/>
  <c r="U16" i="12" s="1"/>
  <c r="S17" i="12"/>
  <c r="T17" i="12" s="1"/>
  <c r="U17" i="12" s="1"/>
  <c r="S18" i="12"/>
  <c r="T18" i="12" s="1"/>
  <c r="U18" i="12" s="1"/>
  <c r="U8" i="11"/>
  <c r="S9" i="11"/>
  <c r="T9" i="11" s="1"/>
  <c r="U9" i="11" s="1"/>
  <c r="S10" i="11"/>
  <c r="T10" i="11" s="1"/>
  <c r="U10" i="11" s="1"/>
  <c r="U8" i="5"/>
  <c r="U8" i="8"/>
  <c r="AE5" i="10"/>
  <c r="AE1" i="10"/>
  <c r="AI5" i="10" s="1"/>
  <c r="AE3" i="10"/>
  <c r="S9" i="10"/>
  <c r="S10" i="10" s="1"/>
  <c r="T8" i="10"/>
  <c r="U8" i="10" s="1"/>
  <c r="S9" i="8"/>
  <c r="T9" i="8" s="1"/>
  <c r="U9" i="8" s="1"/>
  <c r="S9" i="5"/>
  <c r="T9" i="5" s="1"/>
  <c r="U9" i="5" s="1"/>
  <c r="S10" i="5"/>
  <c r="T10" i="5" s="1"/>
  <c r="U10" i="5" s="1"/>
  <c r="U9" i="4"/>
  <c r="U8" i="4"/>
  <c r="U8" i="2"/>
  <c r="S9" i="2"/>
  <c r="T9" i="2" s="1"/>
  <c r="X8" i="1"/>
  <c r="B26" i="1"/>
  <c r="B27" i="1"/>
  <c r="W8" i="1"/>
  <c r="S9" i="1"/>
  <c r="U9" i="1" s="1"/>
  <c r="U8" i="1"/>
  <c r="T8" i="1"/>
  <c r="B28" i="1"/>
  <c r="B32" i="1"/>
  <c r="U9" i="2"/>
  <c r="W9" i="1"/>
  <c r="X9" i="1" s="1"/>
  <c r="S10" i="1"/>
  <c r="S11" i="1" s="1"/>
  <c r="T9" i="1"/>
  <c r="T10" i="1"/>
  <c r="W10" i="1"/>
  <c r="X10" i="1" s="1"/>
  <c r="V8" i="1"/>
  <c r="V9" i="1"/>
  <c r="T10" i="10"/>
  <c r="U10" i="10"/>
  <c r="S11" i="10"/>
  <c r="T9" i="10"/>
  <c r="U9" i="10" s="1"/>
  <c r="V9" i="10" s="1"/>
  <c r="Z2" i="10"/>
  <c r="AD5" i="10" s="1"/>
  <c r="S12" i="10"/>
  <c r="T12" i="10" s="1"/>
  <c r="U12" i="10" s="1"/>
  <c r="V12" i="10" s="1"/>
  <c r="T11" i="10"/>
  <c r="U11" i="10"/>
  <c r="V11" i="10" s="1"/>
  <c r="Z3" i="10"/>
  <c r="V8" i="10"/>
  <c r="S13" i="10"/>
  <c r="S14" i="10" s="1"/>
  <c r="V10" i="10"/>
  <c r="AE2" i="10"/>
  <c r="AH4" i="10" s="1"/>
  <c r="AI4" i="10"/>
  <c r="AE6" i="10"/>
  <c r="AH5" i="10"/>
  <c r="S11" i="5"/>
  <c r="T11" i="5" s="1"/>
  <c r="U11" i="5" s="1"/>
  <c r="AB1" i="2" l="1"/>
  <c r="AB2" i="2"/>
  <c r="S15" i="10"/>
  <c r="T14" i="10"/>
  <c r="U14" i="10" s="1"/>
  <c r="V14" i="10" s="1"/>
  <c r="S12" i="5"/>
  <c r="T13" i="10"/>
  <c r="U13" i="10" s="1"/>
  <c r="V13" i="10" s="1"/>
  <c r="W14" i="10"/>
  <c r="W10" i="10"/>
  <c r="W11" i="10"/>
  <c r="W12" i="10"/>
  <c r="W8" i="10"/>
  <c r="X8" i="10" s="1"/>
  <c r="W13" i="10"/>
  <c r="W9" i="10"/>
  <c r="X9" i="10" s="1"/>
  <c r="AD1" i="10"/>
  <c r="B17" i="1"/>
  <c r="Z3" i="1" s="1"/>
  <c r="W11" i="1"/>
  <c r="X11" i="1" s="1"/>
  <c r="U11" i="1"/>
  <c r="S12" i="1"/>
  <c r="T11" i="1"/>
  <c r="U10" i="1"/>
  <c r="V10" i="1" s="1"/>
  <c r="S10" i="2"/>
  <c r="S10" i="8"/>
  <c r="B16" i="1"/>
  <c r="Z2" i="1" s="1"/>
  <c r="B21" i="1"/>
  <c r="AB3" i="1"/>
  <c r="B20" i="1"/>
  <c r="B19" i="1"/>
  <c r="S11" i="11"/>
  <c r="S19" i="12"/>
  <c r="B35" i="1"/>
  <c r="AB1" i="1" s="1"/>
  <c r="T11" i="15"/>
  <c r="U11" i="15" s="1"/>
  <c r="S12" i="15"/>
  <c r="S11" i="13"/>
  <c r="S11" i="14"/>
  <c r="B23" i="2"/>
  <c r="AB5" i="2"/>
  <c r="S10" i="4"/>
  <c r="B13" i="4"/>
  <c r="Z3" i="4" s="1"/>
  <c r="B24" i="4"/>
  <c r="AB1" i="5"/>
  <c r="B17" i="13"/>
  <c r="B23" i="15"/>
  <c r="B24" i="12"/>
  <c r="B13" i="12" s="1"/>
  <c r="Z3" i="12" s="1"/>
  <c r="B23" i="11"/>
  <c r="AB1" i="11"/>
  <c r="B12" i="13"/>
  <c r="AA2" i="13" s="1"/>
  <c r="B15" i="14"/>
  <c r="B24" i="14"/>
  <c r="B23" i="8"/>
  <c r="B23" i="5"/>
  <c r="Z2" i="5"/>
  <c r="B13" i="13"/>
  <c r="AA3" i="13" s="1"/>
  <c r="B13" i="14"/>
  <c r="AA3" i="14" s="1"/>
  <c r="AB3" i="8"/>
  <c r="B24" i="2" l="1"/>
  <c r="AF1" i="13"/>
  <c r="AF5" i="13"/>
  <c r="B17" i="11"/>
  <c r="B24" i="11"/>
  <c r="B12" i="11" s="1"/>
  <c r="Z2" i="11" s="1"/>
  <c r="V9" i="13"/>
  <c r="V10" i="13"/>
  <c r="V8" i="13"/>
  <c r="AG1" i="13"/>
  <c r="T12" i="15"/>
  <c r="U12" i="15" s="1"/>
  <c r="S13" i="15"/>
  <c r="T11" i="11"/>
  <c r="U11" i="11" s="1"/>
  <c r="S12" i="11"/>
  <c r="T10" i="8"/>
  <c r="U10" i="8" s="1"/>
  <c r="S11" i="8"/>
  <c r="U12" i="1"/>
  <c r="V12" i="1" s="1"/>
  <c r="T12" i="1"/>
  <c r="W12" i="1"/>
  <c r="X12" i="1" s="1"/>
  <c r="S13" i="1"/>
  <c r="AI2" i="10"/>
  <c r="AD6" i="10"/>
  <c r="AD7" i="10" s="1"/>
  <c r="AH1" i="10"/>
  <c r="AD2" i="10"/>
  <c r="AD3" i="10"/>
  <c r="AH2" i="10"/>
  <c r="AD9" i="10"/>
  <c r="B19" i="10" s="1"/>
  <c r="AI1" i="10"/>
  <c r="Y11" i="10"/>
  <c r="X12" i="10"/>
  <c r="X10" i="10"/>
  <c r="Y9" i="10"/>
  <c r="T12" i="5"/>
  <c r="U12" i="5" s="1"/>
  <c r="S13" i="5"/>
  <c r="AE5" i="1"/>
  <c r="AE1" i="1"/>
  <c r="AE2" i="1"/>
  <c r="AE3" i="1"/>
  <c r="AF2" i="5"/>
  <c r="AF1" i="5"/>
  <c r="AF3" i="5"/>
  <c r="AF5" i="5"/>
  <c r="B17" i="12"/>
  <c r="B16" i="12"/>
  <c r="B15" i="12"/>
  <c r="B12" i="12"/>
  <c r="Z2" i="12" s="1"/>
  <c r="T11" i="14"/>
  <c r="U11" i="14" s="1"/>
  <c r="S12" i="14"/>
  <c r="Y12" i="1"/>
  <c r="Y8" i="1"/>
  <c r="Y11" i="1"/>
  <c r="Y10" i="1"/>
  <c r="Y9" i="1"/>
  <c r="V11" i="1"/>
  <c r="X14" i="10"/>
  <c r="Y13" i="10"/>
  <c r="B13" i="15"/>
  <c r="AA3" i="15" s="1"/>
  <c r="T11" i="13"/>
  <c r="U11" i="13" s="1"/>
  <c r="V11" i="13" s="1"/>
  <c r="S12" i="13"/>
  <c r="B24" i="15"/>
  <c r="B15" i="15"/>
  <c r="B13" i="8"/>
  <c r="Z3" i="8" s="1"/>
  <c r="B24" i="8"/>
  <c r="B17" i="8" s="1"/>
  <c r="B15" i="8"/>
  <c r="T10" i="2"/>
  <c r="U10" i="2" s="1"/>
  <c r="S11" i="2"/>
  <c r="B24" i="5"/>
  <c r="B12" i="14"/>
  <c r="AA2" i="14" s="1"/>
  <c r="B16" i="14"/>
  <c r="B17" i="14"/>
  <c r="B17" i="15"/>
  <c r="B16" i="4"/>
  <c r="B12" i="4"/>
  <c r="Z2" i="4" s="1"/>
  <c r="B17" i="4"/>
  <c r="B15" i="4"/>
  <c r="T10" i="4"/>
  <c r="U10" i="4" s="1"/>
  <c r="S11" i="4"/>
  <c r="AB2" i="1"/>
  <c r="X13" i="10"/>
  <c r="Y12" i="10"/>
  <c r="T15" i="10"/>
  <c r="S16" i="10"/>
  <c r="T19" i="12"/>
  <c r="U19" i="12" s="1"/>
  <c r="S20" i="12"/>
  <c r="AD1" i="1"/>
  <c r="AD2" i="1" s="1"/>
  <c r="AD3" i="1"/>
  <c r="AD5" i="1"/>
  <c r="Y10" i="10"/>
  <c r="X11" i="10"/>
  <c r="B12" i="2" l="1"/>
  <c r="Z2" i="2" s="1"/>
  <c r="B17" i="2"/>
  <c r="B15" i="2"/>
  <c r="B16" i="2"/>
  <c r="B13" i="2"/>
  <c r="T20" i="12"/>
  <c r="U20" i="12" s="1"/>
  <c r="S21" i="12"/>
  <c r="V10" i="4"/>
  <c r="V8" i="4"/>
  <c r="V9" i="4"/>
  <c r="B17" i="5"/>
  <c r="B12" i="5"/>
  <c r="B15" i="5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11" i="14"/>
  <c r="T16" i="10"/>
  <c r="S17" i="10"/>
  <c r="B13" i="5"/>
  <c r="B12" i="15"/>
  <c r="AA2" i="15" s="1"/>
  <c r="B16" i="15"/>
  <c r="T12" i="14"/>
  <c r="U12" i="14" s="1"/>
  <c r="S13" i="14"/>
  <c r="AG1" i="12"/>
  <c r="AG2" i="12"/>
  <c r="AG3" i="12"/>
  <c r="AG5" i="12"/>
  <c r="AJ1" i="5"/>
  <c r="AK1" i="5"/>
  <c r="AJ2" i="5"/>
  <c r="AF6" i="5"/>
  <c r="AK2" i="5" s="1"/>
  <c r="AI4" i="1"/>
  <c r="AH4" i="1"/>
  <c r="AE6" i="1"/>
  <c r="AI5" i="1"/>
  <c r="AH5" i="1"/>
  <c r="U13" i="1"/>
  <c r="W13" i="1"/>
  <c r="X13" i="1" s="1"/>
  <c r="Y13" i="1" s="1"/>
  <c r="S14" i="1"/>
  <c r="T13" i="1"/>
  <c r="T11" i="8"/>
  <c r="U11" i="8" s="1"/>
  <c r="S12" i="8"/>
  <c r="T13" i="15"/>
  <c r="U13" i="15" s="1"/>
  <c r="S14" i="15"/>
  <c r="B15" i="11"/>
  <c r="AF6" i="13"/>
  <c r="AK2" i="13" s="1"/>
  <c r="AJ1" i="13"/>
  <c r="AJ2" i="13"/>
  <c r="AK1" i="13"/>
  <c r="V10" i="14"/>
  <c r="V12" i="14"/>
  <c r="AH2" i="1"/>
  <c r="AI2" i="1"/>
  <c r="AD6" i="1"/>
  <c r="AH1" i="1"/>
  <c r="AI1" i="1"/>
  <c r="AD9" i="1"/>
  <c r="B23" i="1" s="1"/>
  <c r="U15" i="10"/>
  <c r="V15" i="10" s="1"/>
  <c r="W15" i="10"/>
  <c r="S12" i="4"/>
  <c r="T11" i="4"/>
  <c r="U11" i="4" s="1"/>
  <c r="V11" i="4" s="1"/>
  <c r="AE1" i="4"/>
  <c r="AE3" i="4"/>
  <c r="AE5" i="4"/>
  <c r="AE2" i="4"/>
  <c r="AG5" i="14"/>
  <c r="AG1" i="14"/>
  <c r="AG2" i="14" s="1"/>
  <c r="T11" i="2"/>
  <c r="U11" i="2" s="1"/>
  <c r="S12" i="2"/>
  <c r="B12" i="8"/>
  <c r="Z2" i="8" s="1"/>
  <c r="B16" i="8"/>
  <c r="T12" i="13"/>
  <c r="U12" i="13" s="1"/>
  <c r="V12" i="13" s="1"/>
  <c r="S13" i="13"/>
  <c r="B13" i="11"/>
  <c r="Z3" i="11" s="1"/>
  <c r="AF2" i="13"/>
  <c r="V9" i="14"/>
  <c r="AD7" i="1"/>
  <c r="AF1" i="4"/>
  <c r="AF2" i="4"/>
  <c r="AF5" i="4"/>
  <c r="AF3" i="4"/>
  <c r="AF1" i="14"/>
  <c r="AF5" i="14"/>
  <c r="AF3" i="14"/>
  <c r="AF2" i="14"/>
  <c r="AF5" i="12"/>
  <c r="AF2" i="12"/>
  <c r="AF1" i="12"/>
  <c r="AF7" i="5"/>
  <c r="AF9" i="5" s="1"/>
  <c r="B19" i="5" s="1"/>
  <c r="T13" i="5"/>
  <c r="U13" i="5" s="1"/>
  <c r="S14" i="5"/>
  <c r="T12" i="11"/>
  <c r="U12" i="11" s="1"/>
  <c r="S13" i="11"/>
  <c r="Z3" i="2"/>
  <c r="AG3" i="13"/>
  <c r="AG6" i="13"/>
  <c r="AJ5" i="13" s="1"/>
  <c r="AJ4" i="13"/>
  <c r="AK5" i="13"/>
  <c r="AG2" i="13"/>
  <c r="AK4" i="13"/>
  <c r="AF5" i="11"/>
  <c r="AF3" i="11"/>
  <c r="AF1" i="11"/>
  <c r="AF2" i="11" s="1"/>
  <c r="AF3" i="13"/>
  <c r="V8" i="14"/>
  <c r="AK1" i="12" l="1"/>
  <c r="AK2" i="12"/>
  <c r="AF6" i="12"/>
  <c r="AJ1" i="12"/>
  <c r="AJ2" i="12"/>
  <c r="W8" i="8"/>
  <c r="X8" i="8" s="1"/>
  <c r="W11" i="8"/>
  <c r="W10" i="8"/>
  <c r="W97" i="8"/>
  <c r="W9" i="8"/>
  <c r="X9" i="8" s="1"/>
  <c r="AD5" i="8"/>
  <c r="AD1" i="8"/>
  <c r="AD3" i="8" s="1"/>
  <c r="T12" i="4"/>
  <c r="U12" i="4" s="1"/>
  <c r="V12" i="4" s="1"/>
  <c r="S13" i="4"/>
  <c r="AG1" i="11"/>
  <c r="V12" i="11"/>
  <c r="AG5" i="11"/>
  <c r="V11" i="11"/>
  <c r="V9" i="11"/>
  <c r="V10" i="11"/>
  <c r="V8" i="11"/>
  <c r="V13" i="1"/>
  <c r="T13" i="14"/>
  <c r="U13" i="14" s="1"/>
  <c r="V13" i="14" s="1"/>
  <c r="S14" i="14"/>
  <c r="AF1" i="2"/>
  <c r="AF5" i="2"/>
  <c r="V13" i="15"/>
  <c r="V11" i="8"/>
  <c r="T13" i="13"/>
  <c r="U13" i="13" s="1"/>
  <c r="V13" i="13" s="1"/>
  <c r="S14" i="13"/>
  <c r="T12" i="2"/>
  <c r="U12" i="2" s="1"/>
  <c r="S13" i="2"/>
  <c r="AJ4" i="14"/>
  <c r="AK4" i="14"/>
  <c r="AG6" i="14"/>
  <c r="AJ5" i="14" s="1"/>
  <c r="Y14" i="10"/>
  <c r="X15" i="10"/>
  <c r="T14" i="15"/>
  <c r="U14" i="15" s="1"/>
  <c r="V14" i="15" s="1"/>
  <c r="S15" i="15"/>
  <c r="T17" i="10"/>
  <c r="S18" i="10"/>
  <c r="AF7" i="13"/>
  <c r="AF9" i="13" s="1"/>
  <c r="B19" i="13" s="1"/>
  <c r="V10" i="15"/>
  <c r="V9" i="8"/>
  <c r="V12" i="5"/>
  <c r="V11" i="5"/>
  <c r="AG5" i="5"/>
  <c r="V9" i="5"/>
  <c r="AG1" i="5"/>
  <c r="V8" i="5"/>
  <c r="V10" i="5"/>
  <c r="V13" i="5"/>
  <c r="V14" i="5"/>
  <c r="T21" i="12"/>
  <c r="U21" i="12" s="1"/>
  <c r="V21" i="12" s="1"/>
  <c r="S22" i="12"/>
  <c r="AF3" i="12"/>
  <c r="AE6" i="4"/>
  <c r="AI2" i="4" s="1"/>
  <c r="AI1" i="4"/>
  <c r="AJ1" i="4"/>
  <c r="T14" i="1"/>
  <c r="W14" i="1"/>
  <c r="X14" i="1" s="1"/>
  <c r="Y14" i="1" s="1"/>
  <c r="U14" i="1"/>
  <c r="V14" i="1" s="1"/>
  <c r="S15" i="1"/>
  <c r="AG1" i="15"/>
  <c r="AG5" i="15"/>
  <c r="AG2" i="15"/>
  <c r="U16" i="10"/>
  <c r="V16" i="10" s="1"/>
  <c r="W16" i="10"/>
  <c r="AE5" i="2"/>
  <c r="AE1" i="2"/>
  <c r="AE2" i="2" s="1"/>
  <c r="V9" i="15"/>
  <c r="V8" i="8"/>
  <c r="T14" i="5"/>
  <c r="U14" i="5" s="1"/>
  <c r="S15" i="5"/>
  <c r="AJ1" i="11"/>
  <c r="AF6" i="11"/>
  <c r="AF7" i="11" s="1"/>
  <c r="AF9" i="11" s="1"/>
  <c r="B19" i="11" s="1"/>
  <c r="AK1" i="11"/>
  <c r="T13" i="11"/>
  <c r="U13" i="11" s="1"/>
  <c r="V13" i="11" s="1"/>
  <c r="S14" i="11"/>
  <c r="AF7" i="12"/>
  <c r="AF9" i="12" s="1"/>
  <c r="B19" i="12" s="1"/>
  <c r="AJ1" i="14"/>
  <c r="AK1" i="14"/>
  <c r="AK2" i="14"/>
  <c r="AF6" i="14"/>
  <c r="AF7" i="14" s="1"/>
  <c r="AF9" i="14" s="1"/>
  <c r="B19" i="14" s="1"/>
  <c r="AF6" i="4"/>
  <c r="AI4" i="4"/>
  <c r="AI5" i="4"/>
  <c r="AJ4" i="4"/>
  <c r="AJ5" i="4"/>
  <c r="AE5" i="8"/>
  <c r="AE2" i="8"/>
  <c r="AE1" i="8"/>
  <c r="AE3" i="8"/>
  <c r="AG3" i="14"/>
  <c r="T12" i="8"/>
  <c r="U12" i="8" s="1"/>
  <c r="V12" i="8" s="1"/>
  <c r="S13" i="8"/>
  <c r="AJ4" i="12"/>
  <c r="AK4" i="12"/>
  <c r="AG6" i="12"/>
  <c r="AK5" i="12" s="1"/>
  <c r="AJ5" i="12"/>
  <c r="AF5" i="15"/>
  <c r="AF1" i="15"/>
  <c r="AF2" i="15" s="1"/>
  <c r="AF3" i="15"/>
  <c r="V8" i="2"/>
  <c r="V9" i="2"/>
  <c r="V12" i="2"/>
  <c r="V10" i="2"/>
  <c r="V11" i="2"/>
  <c r="V12" i="15"/>
  <c r="V8" i="15"/>
  <c r="V11" i="15"/>
  <c r="V10" i="8"/>
  <c r="AE3" i="2" l="1"/>
  <c r="AF6" i="2"/>
  <c r="AI5" i="2" s="1"/>
  <c r="W12" i="8"/>
  <c r="T14" i="11"/>
  <c r="U14" i="11" s="1"/>
  <c r="V14" i="11" s="1"/>
  <c r="S15" i="11"/>
  <c r="AG6" i="5"/>
  <c r="AG3" i="5"/>
  <c r="AJ5" i="5"/>
  <c r="AK5" i="5"/>
  <c r="AG2" i="5"/>
  <c r="AK4" i="5" s="1"/>
  <c r="T13" i="2"/>
  <c r="U13" i="2" s="1"/>
  <c r="V13" i="2" s="1"/>
  <c r="S14" i="2"/>
  <c r="T13" i="8"/>
  <c r="S14" i="8"/>
  <c r="AE6" i="8"/>
  <c r="AI4" i="8"/>
  <c r="AH5" i="8"/>
  <c r="AI5" i="8"/>
  <c r="AH4" i="8"/>
  <c r="AJ2" i="14"/>
  <c r="Y15" i="10"/>
  <c r="X16" i="10"/>
  <c r="AJ2" i="4"/>
  <c r="T18" i="10"/>
  <c r="S19" i="10"/>
  <c r="AK5" i="14"/>
  <c r="AF3" i="2"/>
  <c r="T14" i="14"/>
  <c r="U14" i="14" s="1"/>
  <c r="V14" i="14" s="1"/>
  <c r="S15" i="14"/>
  <c r="AE7" i="4"/>
  <c r="AE9" i="4" s="1"/>
  <c r="B19" i="4" s="1"/>
  <c r="AJ4" i="15"/>
  <c r="AG6" i="15"/>
  <c r="AJ5" i="15" s="1"/>
  <c r="AK4" i="15"/>
  <c r="U17" i="10"/>
  <c r="V17" i="10" s="1"/>
  <c r="W17" i="10"/>
  <c r="T14" i="13"/>
  <c r="U14" i="13" s="1"/>
  <c r="V14" i="13" s="1"/>
  <c r="S15" i="13"/>
  <c r="AG6" i="11"/>
  <c r="AG2" i="11"/>
  <c r="AK4" i="11" s="1"/>
  <c r="AG3" i="11"/>
  <c r="AJ5" i="11"/>
  <c r="AK5" i="11"/>
  <c r="AI1" i="8"/>
  <c r="AD6" i="8"/>
  <c r="AD7" i="8" s="1"/>
  <c r="AD9" i="8" s="1"/>
  <c r="B19" i="8" s="1"/>
  <c r="AH2" i="8"/>
  <c r="AI2" i="8"/>
  <c r="AH1" i="8"/>
  <c r="Y9" i="8"/>
  <c r="X10" i="8"/>
  <c r="T15" i="5"/>
  <c r="U15" i="5" s="1"/>
  <c r="V15" i="5" s="1"/>
  <c r="S16" i="5"/>
  <c r="T22" i="12"/>
  <c r="U22" i="12" s="1"/>
  <c r="V22" i="12" s="1"/>
  <c r="S23" i="12"/>
  <c r="AF6" i="15"/>
  <c r="AK2" i="15" s="1"/>
  <c r="AJ2" i="15"/>
  <c r="AJ1" i="15"/>
  <c r="AK1" i="15"/>
  <c r="AF7" i="15"/>
  <c r="AF9" i="15" s="1"/>
  <c r="B19" i="15" s="1"/>
  <c r="AJ2" i="11"/>
  <c r="AK2" i="11"/>
  <c r="AE6" i="2"/>
  <c r="AJ2" i="2" s="1"/>
  <c r="AJ1" i="2"/>
  <c r="AI1" i="2"/>
  <c r="AG3" i="15"/>
  <c r="W15" i="1"/>
  <c r="X15" i="1" s="1"/>
  <c r="Y15" i="1" s="1"/>
  <c r="T15" i="1"/>
  <c r="S16" i="1"/>
  <c r="U15" i="1"/>
  <c r="T15" i="15"/>
  <c r="U15" i="15" s="1"/>
  <c r="V15" i="15" s="1"/>
  <c r="S16" i="15"/>
  <c r="AF2" i="2"/>
  <c r="AJ4" i="2" s="1"/>
  <c r="T13" i="4"/>
  <c r="U13" i="4" s="1"/>
  <c r="V13" i="4" s="1"/>
  <c r="S14" i="4"/>
  <c r="AD2" i="8"/>
  <c r="Y10" i="8"/>
  <c r="X11" i="8"/>
  <c r="AI2" i="2" l="1"/>
  <c r="AJ5" i="2"/>
  <c r="T16" i="1"/>
  <c r="U16" i="1"/>
  <c r="V16" i="1" s="1"/>
  <c r="S17" i="1"/>
  <c r="W16" i="1"/>
  <c r="X16" i="1" s="1"/>
  <c r="Y16" i="1" s="1"/>
  <c r="T14" i="8"/>
  <c r="S15" i="8"/>
  <c r="T16" i="15"/>
  <c r="U16" i="15" s="1"/>
  <c r="V16" i="15" s="1"/>
  <c r="S17" i="15"/>
  <c r="AE7" i="2"/>
  <c r="AE9" i="2" s="1"/>
  <c r="B19" i="2" s="1"/>
  <c r="AJ4" i="11"/>
  <c r="X17" i="10"/>
  <c r="Y16" i="10"/>
  <c r="AK5" i="15"/>
  <c r="T15" i="14"/>
  <c r="U15" i="14" s="1"/>
  <c r="V15" i="14" s="1"/>
  <c r="S16" i="14"/>
  <c r="T19" i="10"/>
  <c r="S20" i="10"/>
  <c r="U13" i="8"/>
  <c r="V13" i="8" s="1"/>
  <c r="W13" i="8"/>
  <c r="AJ4" i="5"/>
  <c r="Y11" i="8"/>
  <c r="X12" i="8"/>
  <c r="T16" i="5"/>
  <c r="U16" i="5" s="1"/>
  <c r="V16" i="5" s="1"/>
  <c r="S17" i="5"/>
  <c r="U18" i="10"/>
  <c r="V18" i="10" s="1"/>
  <c r="W18" i="10"/>
  <c r="T14" i="2"/>
  <c r="U14" i="2" s="1"/>
  <c r="V14" i="2" s="1"/>
  <c r="S15" i="2"/>
  <c r="AI4" i="2"/>
  <c r="T14" i="4"/>
  <c r="U14" i="4" s="1"/>
  <c r="V14" i="4" s="1"/>
  <c r="S15" i="4"/>
  <c r="V15" i="1"/>
  <c r="T23" i="12"/>
  <c r="U23" i="12" s="1"/>
  <c r="V23" i="12" s="1"/>
  <c r="S24" i="12"/>
  <c r="T15" i="13"/>
  <c r="U15" i="13" s="1"/>
  <c r="V15" i="13" s="1"/>
  <c r="S16" i="13"/>
  <c r="T15" i="11"/>
  <c r="U15" i="11" s="1"/>
  <c r="V15" i="11" s="1"/>
  <c r="S16" i="11"/>
  <c r="T16" i="13" l="1"/>
  <c r="U16" i="13" s="1"/>
  <c r="V16" i="13" s="1"/>
  <c r="S17" i="13"/>
  <c r="T17" i="5"/>
  <c r="U17" i="5" s="1"/>
  <c r="V17" i="5" s="1"/>
  <c r="S18" i="5"/>
  <c r="U19" i="10"/>
  <c r="V19" i="10" s="1"/>
  <c r="W19" i="10"/>
  <c r="T17" i="15"/>
  <c r="U17" i="15" s="1"/>
  <c r="V17" i="15" s="1"/>
  <c r="S18" i="15"/>
  <c r="Y12" i="8"/>
  <c r="X13" i="8"/>
  <c r="T16" i="14"/>
  <c r="U16" i="14" s="1"/>
  <c r="V16" i="14" s="1"/>
  <c r="S17" i="14"/>
  <c r="S18" i="1"/>
  <c r="T17" i="1"/>
  <c r="W17" i="1"/>
  <c r="X17" i="1" s="1"/>
  <c r="Y17" i="1" s="1"/>
  <c r="U17" i="1"/>
  <c r="V17" i="1" s="1"/>
  <c r="T16" i="11"/>
  <c r="U16" i="11" s="1"/>
  <c r="V16" i="11" s="1"/>
  <c r="S17" i="11"/>
  <c r="T24" i="12"/>
  <c r="U24" i="12" s="1"/>
  <c r="V24" i="12" s="1"/>
  <c r="S25" i="12"/>
  <c r="X18" i="10"/>
  <c r="Y17" i="10"/>
  <c r="T15" i="8"/>
  <c r="S16" i="8"/>
  <c r="T15" i="2"/>
  <c r="U15" i="2" s="1"/>
  <c r="V15" i="2" s="1"/>
  <c r="S16" i="2"/>
  <c r="S16" i="4"/>
  <c r="T15" i="4"/>
  <c r="U15" i="4" s="1"/>
  <c r="V15" i="4" s="1"/>
  <c r="T20" i="10"/>
  <c r="S21" i="10"/>
  <c r="U14" i="8"/>
  <c r="V14" i="8" s="1"/>
  <c r="W14" i="8"/>
  <c r="U20" i="10" l="1"/>
  <c r="V20" i="10" s="1"/>
  <c r="W20" i="10"/>
  <c r="T18" i="1"/>
  <c r="W18" i="1"/>
  <c r="X18" i="1" s="1"/>
  <c r="Y18" i="1" s="1"/>
  <c r="S19" i="1"/>
  <c r="U18" i="1"/>
  <c r="V18" i="1" s="1"/>
  <c r="T16" i="8"/>
  <c r="S17" i="8"/>
  <c r="T25" i="12"/>
  <c r="U25" i="12" s="1"/>
  <c r="V25" i="12" s="1"/>
  <c r="S26" i="12"/>
  <c r="T17" i="14"/>
  <c r="U17" i="14" s="1"/>
  <c r="V17" i="14" s="1"/>
  <c r="S18" i="14"/>
  <c r="T16" i="4"/>
  <c r="U16" i="4" s="1"/>
  <c r="V16" i="4" s="1"/>
  <c r="S17" i="4"/>
  <c r="U15" i="8"/>
  <c r="V15" i="8" s="1"/>
  <c r="W15" i="8"/>
  <c r="Y13" i="8"/>
  <c r="X14" i="8"/>
  <c r="T18" i="15"/>
  <c r="U18" i="15" s="1"/>
  <c r="V18" i="15" s="1"/>
  <c r="S19" i="15"/>
  <c r="T18" i="5"/>
  <c r="U18" i="5" s="1"/>
  <c r="V18" i="5" s="1"/>
  <c r="S19" i="5"/>
  <c r="T21" i="10"/>
  <c r="S22" i="10"/>
  <c r="T16" i="2"/>
  <c r="U16" i="2" s="1"/>
  <c r="V16" i="2" s="1"/>
  <c r="S17" i="2"/>
  <c r="T17" i="11"/>
  <c r="U17" i="11" s="1"/>
  <c r="V17" i="11" s="1"/>
  <c r="S18" i="11"/>
  <c r="Y18" i="10"/>
  <c r="X19" i="10"/>
  <c r="T17" i="13"/>
  <c r="U17" i="13" s="1"/>
  <c r="V17" i="13" s="1"/>
  <c r="S18" i="13"/>
  <c r="T18" i="13" l="1"/>
  <c r="U18" i="13" s="1"/>
  <c r="V18" i="13" s="1"/>
  <c r="S19" i="13"/>
  <c r="T18" i="11"/>
  <c r="U18" i="11" s="1"/>
  <c r="V18" i="11" s="1"/>
  <c r="S19" i="11"/>
  <c r="T22" i="10"/>
  <c r="S23" i="10"/>
  <c r="T19" i="15"/>
  <c r="U19" i="15" s="1"/>
  <c r="V19" i="15" s="1"/>
  <c r="S20" i="15"/>
  <c r="Y14" i="8"/>
  <c r="X15" i="8"/>
  <c r="T18" i="14"/>
  <c r="U18" i="14" s="1"/>
  <c r="V18" i="14" s="1"/>
  <c r="S19" i="14"/>
  <c r="T17" i="8"/>
  <c r="S18" i="8"/>
  <c r="U21" i="10"/>
  <c r="V21" i="10" s="1"/>
  <c r="W21" i="10"/>
  <c r="U16" i="8"/>
  <c r="V16" i="8" s="1"/>
  <c r="W16" i="8"/>
  <c r="T17" i="2"/>
  <c r="U17" i="2" s="1"/>
  <c r="V17" i="2" s="1"/>
  <c r="S18" i="2"/>
  <c r="T19" i="5"/>
  <c r="U19" i="5" s="1"/>
  <c r="V19" i="5" s="1"/>
  <c r="S20" i="5"/>
  <c r="T17" i="4"/>
  <c r="U17" i="4" s="1"/>
  <c r="V17" i="4" s="1"/>
  <c r="S18" i="4"/>
  <c r="T26" i="12"/>
  <c r="U26" i="12" s="1"/>
  <c r="V26" i="12" s="1"/>
  <c r="S27" i="12"/>
  <c r="Y19" i="10"/>
  <c r="X20" i="10"/>
  <c r="S20" i="1"/>
  <c r="T19" i="1"/>
  <c r="W19" i="1"/>
  <c r="X19" i="1" s="1"/>
  <c r="Y19" i="1" s="1"/>
  <c r="U19" i="1"/>
  <c r="V19" i="1" l="1"/>
  <c r="T18" i="4"/>
  <c r="U18" i="4" s="1"/>
  <c r="V18" i="4" s="1"/>
  <c r="S19" i="4"/>
  <c r="T18" i="2"/>
  <c r="U18" i="2" s="1"/>
  <c r="V18" i="2" s="1"/>
  <c r="S19" i="2"/>
  <c r="X21" i="10"/>
  <c r="Y20" i="10"/>
  <c r="T19" i="14"/>
  <c r="U19" i="14" s="1"/>
  <c r="V19" i="14" s="1"/>
  <c r="S20" i="14"/>
  <c r="T20" i="15"/>
  <c r="U20" i="15" s="1"/>
  <c r="V20" i="15" s="1"/>
  <c r="S21" i="15"/>
  <c r="T19" i="11"/>
  <c r="U19" i="11" s="1"/>
  <c r="V19" i="11" s="1"/>
  <c r="S20" i="11"/>
  <c r="T27" i="12"/>
  <c r="U27" i="12" s="1"/>
  <c r="V27" i="12" s="1"/>
  <c r="S28" i="12"/>
  <c r="T20" i="5"/>
  <c r="U20" i="5" s="1"/>
  <c r="V20" i="5" s="1"/>
  <c r="S21" i="5"/>
  <c r="Y15" i="8"/>
  <c r="X16" i="8"/>
  <c r="T18" i="8"/>
  <c r="S19" i="8"/>
  <c r="T23" i="10"/>
  <c r="S24" i="10"/>
  <c r="T19" i="13"/>
  <c r="U19" i="13" s="1"/>
  <c r="V19" i="13" s="1"/>
  <c r="S20" i="13"/>
  <c r="S21" i="1"/>
  <c r="W20" i="1"/>
  <c r="X20" i="1" s="1"/>
  <c r="Y20" i="1" s="1"/>
  <c r="U20" i="1"/>
  <c r="V20" i="1" s="1"/>
  <c r="T20" i="1"/>
  <c r="U17" i="8"/>
  <c r="V17" i="8" s="1"/>
  <c r="W17" i="8"/>
  <c r="U22" i="10"/>
  <c r="V22" i="10" s="1"/>
  <c r="W22" i="10"/>
  <c r="U18" i="8" l="1"/>
  <c r="V18" i="8" s="1"/>
  <c r="W18" i="8"/>
  <c r="Y16" i="8"/>
  <c r="X17" i="8"/>
  <c r="T24" i="10"/>
  <c r="S25" i="10"/>
  <c r="T28" i="12"/>
  <c r="U28" i="12" s="1"/>
  <c r="V28" i="12" s="1"/>
  <c r="S29" i="12"/>
  <c r="T21" i="15"/>
  <c r="U21" i="15" s="1"/>
  <c r="V21" i="15" s="1"/>
  <c r="S22" i="15"/>
  <c r="S20" i="4"/>
  <c r="T19" i="4"/>
  <c r="U19" i="4" s="1"/>
  <c r="V19" i="4" s="1"/>
  <c r="U21" i="1"/>
  <c r="T21" i="1"/>
  <c r="W21" i="1"/>
  <c r="X21" i="1" s="1"/>
  <c r="Y21" i="1" s="1"/>
  <c r="S22" i="1"/>
  <c r="U23" i="10"/>
  <c r="V23" i="10" s="1"/>
  <c r="W23" i="10"/>
  <c r="X22" i="10"/>
  <c r="Y21" i="10"/>
  <c r="T20" i="13"/>
  <c r="U20" i="13" s="1"/>
  <c r="V20" i="13" s="1"/>
  <c r="S21" i="13"/>
  <c r="T19" i="8"/>
  <c r="S20" i="8"/>
  <c r="T21" i="5"/>
  <c r="U21" i="5" s="1"/>
  <c r="V21" i="5" s="1"/>
  <c r="S22" i="5"/>
  <c r="T20" i="11"/>
  <c r="U20" i="11" s="1"/>
  <c r="V20" i="11" s="1"/>
  <c r="S21" i="11"/>
  <c r="T20" i="14"/>
  <c r="U20" i="14" s="1"/>
  <c r="V20" i="14" s="1"/>
  <c r="S21" i="14"/>
  <c r="T19" i="2"/>
  <c r="U19" i="2" s="1"/>
  <c r="V19" i="2" s="1"/>
  <c r="S20" i="2"/>
  <c r="T21" i="14" l="1"/>
  <c r="U21" i="14" s="1"/>
  <c r="V21" i="14" s="1"/>
  <c r="S22" i="14"/>
  <c r="T22" i="5"/>
  <c r="U22" i="5" s="1"/>
  <c r="V22" i="5" s="1"/>
  <c r="S23" i="5"/>
  <c r="V21" i="1"/>
  <c r="U24" i="10"/>
  <c r="V24" i="10" s="1"/>
  <c r="W24" i="10"/>
  <c r="T20" i="2"/>
  <c r="U20" i="2" s="1"/>
  <c r="V20" i="2" s="1"/>
  <c r="S21" i="2"/>
  <c r="T21" i="11"/>
  <c r="U21" i="11" s="1"/>
  <c r="V21" i="11" s="1"/>
  <c r="S22" i="11"/>
  <c r="T20" i="8"/>
  <c r="S21" i="8"/>
  <c r="S23" i="1"/>
  <c r="U22" i="1"/>
  <c r="V22" i="1" s="1"/>
  <c r="W22" i="1"/>
  <c r="X22" i="1" s="1"/>
  <c r="Y22" i="1" s="1"/>
  <c r="T22" i="1"/>
  <c r="T29" i="12"/>
  <c r="U29" i="12" s="1"/>
  <c r="V29" i="12" s="1"/>
  <c r="S30" i="12"/>
  <c r="U19" i="8"/>
  <c r="V19" i="8" s="1"/>
  <c r="W19" i="8"/>
  <c r="T20" i="4"/>
  <c r="U20" i="4" s="1"/>
  <c r="V20" i="4" s="1"/>
  <c r="S21" i="4"/>
  <c r="Y22" i="10"/>
  <c r="X23" i="10"/>
  <c r="T22" i="15"/>
  <c r="U22" i="15" s="1"/>
  <c r="V22" i="15" s="1"/>
  <c r="S23" i="15"/>
  <c r="T25" i="10"/>
  <c r="S26" i="10"/>
  <c r="Y17" i="8"/>
  <c r="X18" i="8"/>
  <c r="T21" i="13"/>
  <c r="U21" i="13" s="1"/>
  <c r="V21" i="13" s="1"/>
  <c r="S22" i="13"/>
  <c r="U25" i="10" l="1"/>
  <c r="V25" i="10" s="1"/>
  <c r="W25" i="10"/>
  <c r="U20" i="8"/>
  <c r="V20" i="8" s="1"/>
  <c r="W20" i="8"/>
  <c r="T23" i="5"/>
  <c r="U23" i="5" s="1"/>
  <c r="V23" i="5" s="1"/>
  <c r="S24" i="5"/>
  <c r="T23" i="15"/>
  <c r="U23" i="15" s="1"/>
  <c r="V23" i="15" s="1"/>
  <c r="S24" i="15"/>
  <c r="T21" i="4"/>
  <c r="U21" i="4" s="1"/>
  <c r="V21" i="4" s="1"/>
  <c r="S22" i="4"/>
  <c r="T30" i="12"/>
  <c r="U30" i="12" s="1"/>
  <c r="V30" i="12" s="1"/>
  <c r="S31" i="12"/>
  <c r="T22" i="11"/>
  <c r="U22" i="11" s="1"/>
  <c r="V22" i="11" s="1"/>
  <c r="S23" i="11"/>
  <c r="Y23" i="10"/>
  <c r="X24" i="10"/>
  <c r="T23" i="1"/>
  <c r="U23" i="1"/>
  <c r="W23" i="1"/>
  <c r="X23" i="1" s="1"/>
  <c r="Y23" i="1" s="1"/>
  <c r="S24" i="1"/>
  <c r="T22" i="14"/>
  <c r="U22" i="14" s="1"/>
  <c r="V22" i="14" s="1"/>
  <c r="S23" i="14"/>
  <c r="T22" i="13"/>
  <c r="U22" i="13" s="1"/>
  <c r="V22" i="13" s="1"/>
  <c r="S23" i="13"/>
  <c r="T26" i="10"/>
  <c r="S27" i="10"/>
  <c r="Y18" i="8"/>
  <c r="X19" i="8"/>
  <c r="T21" i="8"/>
  <c r="S22" i="8"/>
  <c r="T21" i="2"/>
  <c r="U21" i="2" s="1"/>
  <c r="V21" i="2" s="1"/>
  <c r="S22" i="2"/>
  <c r="T22" i="2" l="1"/>
  <c r="U22" i="2" s="1"/>
  <c r="V22" i="2" s="1"/>
  <c r="S23" i="2"/>
  <c r="T23" i="13"/>
  <c r="U23" i="13" s="1"/>
  <c r="V23" i="13" s="1"/>
  <c r="S24" i="13"/>
  <c r="U24" i="1"/>
  <c r="V24" i="1" s="1"/>
  <c r="W24" i="1"/>
  <c r="X24" i="1" s="1"/>
  <c r="Y24" i="1" s="1"/>
  <c r="S25" i="1"/>
  <c r="T24" i="1"/>
  <c r="T31" i="12"/>
  <c r="U31" i="12" s="1"/>
  <c r="V31" i="12" s="1"/>
  <c r="S32" i="12"/>
  <c r="T24" i="15"/>
  <c r="U24" i="15" s="1"/>
  <c r="V24" i="15" s="1"/>
  <c r="S25" i="15"/>
  <c r="Y19" i="8"/>
  <c r="X20" i="8"/>
  <c r="T22" i="8"/>
  <c r="S23" i="8"/>
  <c r="T27" i="10"/>
  <c r="S28" i="10"/>
  <c r="T23" i="14"/>
  <c r="U23" i="14" s="1"/>
  <c r="V23" i="14" s="1"/>
  <c r="S24" i="14"/>
  <c r="V23" i="1"/>
  <c r="T23" i="11"/>
  <c r="U23" i="11" s="1"/>
  <c r="V23" i="11" s="1"/>
  <c r="S24" i="11"/>
  <c r="T22" i="4"/>
  <c r="U22" i="4" s="1"/>
  <c r="V22" i="4" s="1"/>
  <c r="S23" i="4"/>
  <c r="T24" i="5"/>
  <c r="U24" i="5" s="1"/>
  <c r="V24" i="5" s="1"/>
  <c r="S25" i="5"/>
  <c r="X25" i="10"/>
  <c r="Y24" i="10"/>
  <c r="U21" i="8"/>
  <c r="V21" i="8" s="1"/>
  <c r="W21" i="8"/>
  <c r="U26" i="10"/>
  <c r="V26" i="10" s="1"/>
  <c r="W26" i="10"/>
  <c r="X26" i="10" l="1"/>
  <c r="Y25" i="10"/>
  <c r="T24" i="14"/>
  <c r="U24" i="14" s="1"/>
  <c r="V24" i="14" s="1"/>
  <c r="S25" i="14"/>
  <c r="T23" i="8"/>
  <c r="S24" i="8"/>
  <c r="T25" i="15"/>
  <c r="U25" i="15" s="1"/>
  <c r="V25" i="15" s="1"/>
  <c r="S26" i="15"/>
  <c r="T24" i="13"/>
  <c r="U24" i="13" s="1"/>
  <c r="V24" i="13" s="1"/>
  <c r="S25" i="13"/>
  <c r="Y20" i="8"/>
  <c r="X21" i="8"/>
  <c r="T25" i="5"/>
  <c r="U25" i="5" s="1"/>
  <c r="V25" i="5" s="1"/>
  <c r="S26" i="5"/>
  <c r="T24" i="11"/>
  <c r="U24" i="11" s="1"/>
  <c r="V24" i="11" s="1"/>
  <c r="S25" i="11"/>
  <c r="U22" i="8"/>
  <c r="V22" i="8" s="1"/>
  <c r="W22" i="8"/>
  <c r="W25" i="1"/>
  <c r="X25" i="1" s="1"/>
  <c r="Y25" i="1" s="1"/>
  <c r="T25" i="1"/>
  <c r="S26" i="1"/>
  <c r="U25" i="1"/>
  <c r="V25" i="1" s="1"/>
  <c r="T28" i="10"/>
  <c r="S29" i="10"/>
  <c r="T32" i="12"/>
  <c r="U32" i="12" s="1"/>
  <c r="V32" i="12" s="1"/>
  <c r="S33" i="12"/>
  <c r="T23" i="2"/>
  <c r="U23" i="2" s="1"/>
  <c r="V23" i="2" s="1"/>
  <c r="S24" i="2"/>
  <c r="S24" i="4"/>
  <c r="T23" i="4"/>
  <c r="U23" i="4" s="1"/>
  <c r="V23" i="4" s="1"/>
  <c r="U27" i="10"/>
  <c r="V27" i="10" s="1"/>
  <c r="W27" i="10"/>
  <c r="W26" i="1" l="1"/>
  <c r="X26" i="1" s="1"/>
  <c r="Y26" i="1" s="1"/>
  <c r="U26" i="1"/>
  <c r="S27" i="1"/>
  <c r="T26" i="1"/>
  <c r="Y26" i="10"/>
  <c r="X27" i="10"/>
  <c r="T24" i="2"/>
  <c r="U24" i="2" s="1"/>
  <c r="V24" i="2" s="1"/>
  <c r="S25" i="2"/>
  <c r="T29" i="10"/>
  <c r="S30" i="10"/>
  <c r="T25" i="11"/>
  <c r="U25" i="11" s="1"/>
  <c r="V25" i="11" s="1"/>
  <c r="S26" i="11"/>
  <c r="T26" i="15"/>
  <c r="U26" i="15" s="1"/>
  <c r="V26" i="15" s="1"/>
  <c r="S27" i="15"/>
  <c r="T25" i="14"/>
  <c r="U25" i="14" s="1"/>
  <c r="V25" i="14" s="1"/>
  <c r="S26" i="14"/>
  <c r="T33" i="12"/>
  <c r="U33" i="12" s="1"/>
  <c r="V33" i="12" s="1"/>
  <c r="S34" i="12"/>
  <c r="Y21" i="8"/>
  <c r="X22" i="8"/>
  <c r="T26" i="5"/>
  <c r="U26" i="5" s="1"/>
  <c r="V26" i="5" s="1"/>
  <c r="S27" i="5"/>
  <c r="T25" i="13"/>
  <c r="U25" i="13" s="1"/>
  <c r="V25" i="13" s="1"/>
  <c r="S26" i="13"/>
  <c r="T24" i="8"/>
  <c r="S25" i="8"/>
  <c r="U28" i="10"/>
  <c r="V28" i="10" s="1"/>
  <c r="W28" i="10"/>
  <c r="T24" i="4"/>
  <c r="U24" i="4" s="1"/>
  <c r="V24" i="4" s="1"/>
  <c r="S25" i="4"/>
  <c r="U23" i="8"/>
  <c r="V23" i="8" s="1"/>
  <c r="W23" i="8"/>
  <c r="Y27" i="10" l="1"/>
  <c r="X28" i="10"/>
  <c r="T26" i="11"/>
  <c r="U26" i="11" s="1"/>
  <c r="V26" i="11" s="1"/>
  <c r="S27" i="11"/>
  <c r="T27" i="1"/>
  <c r="W27" i="1"/>
  <c r="X27" i="1" s="1"/>
  <c r="Y27" i="1" s="1"/>
  <c r="U27" i="1"/>
  <c r="V27" i="1" s="1"/>
  <c r="S28" i="1"/>
  <c r="Y22" i="8"/>
  <c r="X23" i="8"/>
  <c r="T26" i="13"/>
  <c r="U26" i="13" s="1"/>
  <c r="V26" i="13" s="1"/>
  <c r="S27" i="13"/>
  <c r="T26" i="14"/>
  <c r="U26" i="14" s="1"/>
  <c r="V26" i="14" s="1"/>
  <c r="S27" i="14"/>
  <c r="T25" i="2"/>
  <c r="U25" i="2" s="1"/>
  <c r="V25" i="2" s="1"/>
  <c r="S26" i="2"/>
  <c r="T25" i="4"/>
  <c r="U25" i="4" s="1"/>
  <c r="V25" i="4" s="1"/>
  <c r="S26" i="4"/>
  <c r="T25" i="8"/>
  <c r="S26" i="8"/>
  <c r="T27" i="5"/>
  <c r="U27" i="5" s="1"/>
  <c r="V27" i="5" s="1"/>
  <c r="S28" i="5"/>
  <c r="T34" i="12"/>
  <c r="U34" i="12" s="1"/>
  <c r="V34" i="12" s="1"/>
  <c r="S35" i="12"/>
  <c r="T27" i="15"/>
  <c r="U27" i="15" s="1"/>
  <c r="V27" i="15" s="1"/>
  <c r="S28" i="15"/>
  <c r="T30" i="10"/>
  <c r="S31" i="10"/>
  <c r="V26" i="1"/>
  <c r="U24" i="8"/>
  <c r="V24" i="8" s="1"/>
  <c r="W24" i="8"/>
  <c r="U29" i="10"/>
  <c r="V29" i="10" s="1"/>
  <c r="W29" i="10"/>
  <c r="T31" i="10" l="1"/>
  <c r="S32" i="10"/>
  <c r="T35" i="12"/>
  <c r="U35" i="12" s="1"/>
  <c r="V35" i="12" s="1"/>
  <c r="S36" i="12"/>
  <c r="T26" i="8"/>
  <c r="S27" i="8"/>
  <c r="T26" i="2"/>
  <c r="U26" i="2" s="1"/>
  <c r="V26" i="2" s="1"/>
  <c r="S27" i="2"/>
  <c r="T27" i="13"/>
  <c r="U27" i="13" s="1"/>
  <c r="V27" i="13" s="1"/>
  <c r="S28" i="13"/>
  <c r="U28" i="1"/>
  <c r="V28" i="1" s="1"/>
  <c r="S29" i="1"/>
  <c r="T28" i="1"/>
  <c r="W28" i="1"/>
  <c r="X28" i="1" s="1"/>
  <c r="Y28" i="1" s="1"/>
  <c r="T27" i="11"/>
  <c r="U27" i="11" s="1"/>
  <c r="V27" i="11" s="1"/>
  <c r="S28" i="11"/>
  <c r="U30" i="10"/>
  <c r="V30" i="10" s="1"/>
  <c r="W30" i="10"/>
  <c r="Y23" i="8"/>
  <c r="X24" i="8"/>
  <c r="U25" i="8"/>
  <c r="V25" i="8" s="1"/>
  <c r="W25" i="8"/>
  <c r="T28" i="15"/>
  <c r="U28" i="15" s="1"/>
  <c r="V28" i="15" s="1"/>
  <c r="S29" i="15"/>
  <c r="T28" i="5"/>
  <c r="U28" i="5" s="1"/>
  <c r="V28" i="5" s="1"/>
  <c r="S29" i="5"/>
  <c r="T26" i="4"/>
  <c r="U26" i="4" s="1"/>
  <c r="V26" i="4" s="1"/>
  <c r="S27" i="4"/>
  <c r="T27" i="14"/>
  <c r="U27" i="14" s="1"/>
  <c r="V27" i="14" s="1"/>
  <c r="S28" i="14"/>
  <c r="X29" i="10"/>
  <c r="Y28" i="10"/>
  <c r="S28" i="4" l="1"/>
  <c r="T27" i="4"/>
  <c r="U27" i="4" s="1"/>
  <c r="V27" i="4" s="1"/>
  <c r="T29" i="1"/>
  <c r="S30" i="1"/>
  <c r="U29" i="1"/>
  <c r="W29" i="1"/>
  <c r="X29" i="1" s="1"/>
  <c r="Y29" i="1" s="1"/>
  <c r="T28" i="11"/>
  <c r="U28" i="11" s="1"/>
  <c r="V28" i="11" s="1"/>
  <c r="S29" i="11"/>
  <c r="T36" i="12"/>
  <c r="U36" i="12" s="1"/>
  <c r="V36" i="12" s="1"/>
  <c r="S37" i="12"/>
  <c r="T28" i="14"/>
  <c r="U28" i="14" s="1"/>
  <c r="V28" i="14" s="1"/>
  <c r="S29" i="14"/>
  <c r="T29" i="5"/>
  <c r="U29" i="5" s="1"/>
  <c r="V29" i="5" s="1"/>
  <c r="S30" i="5"/>
  <c r="Y24" i="8"/>
  <c r="X25" i="8"/>
  <c r="X30" i="10"/>
  <c r="Y29" i="10"/>
  <c r="T28" i="13"/>
  <c r="U28" i="13" s="1"/>
  <c r="V28" i="13" s="1"/>
  <c r="S29" i="13"/>
  <c r="T27" i="8"/>
  <c r="S28" i="8"/>
  <c r="T32" i="10"/>
  <c r="S33" i="10"/>
  <c r="T29" i="15"/>
  <c r="U29" i="15" s="1"/>
  <c r="V29" i="15" s="1"/>
  <c r="S30" i="15"/>
  <c r="T27" i="2"/>
  <c r="U27" i="2" s="1"/>
  <c r="V27" i="2" s="1"/>
  <c r="S28" i="2"/>
  <c r="U26" i="8"/>
  <c r="V26" i="8" s="1"/>
  <c r="W26" i="8"/>
  <c r="U31" i="10"/>
  <c r="V31" i="10" s="1"/>
  <c r="W31" i="10"/>
  <c r="Y30" i="10" l="1"/>
  <c r="X31" i="10"/>
  <c r="T33" i="10"/>
  <c r="S34" i="10"/>
  <c r="U32" i="10"/>
  <c r="V32" i="10" s="1"/>
  <c r="W32" i="10"/>
  <c r="T28" i="2"/>
  <c r="U28" i="2" s="1"/>
  <c r="V28" i="2" s="1"/>
  <c r="S29" i="2"/>
  <c r="T29" i="13"/>
  <c r="U29" i="13" s="1"/>
  <c r="V29" i="13" s="1"/>
  <c r="S30" i="13"/>
  <c r="T29" i="14"/>
  <c r="U29" i="14" s="1"/>
  <c r="V29" i="14" s="1"/>
  <c r="S30" i="14"/>
  <c r="T29" i="11"/>
  <c r="U29" i="11" s="1"/>
  <c r="V29" i="11" s="1"/>
  <c r="S30" i="11"/>
  <c r="W30" i="1"/>
  <c r="X30" i="1" s="1"/>
  <c r="Y30" i="1" s="1"/>
  <c r="S31" i="1"/>
  <c r="U30" i="1"/>
  <c r="V30" i="1" s="1"/>
  <c r="T30" i="1"/>
  <c r="Y25" i="8"/>
  <c r="X26" i="8"/>
  <c r="T30" i="15"/>
  <c r="U30" i="15" s="1"/>
  <c r="V30" i="15" s="1"/>
  <c r="S31" i="15"/>
  <c r="T28" i="8"/>
  <c r="S29" i="8"/>
  <c r="T30" i="5"/>
  <c r="U30" i="5" s="1"/>
  <c r="V30" i="5" s="1"/>
  <c r="S31" i="5"/>
  <c r="T37" i="12"/>
  <c r="U37" i="12" s="1"/>
  <c r="V37" i="12" s="1"/>
  <c r="S38" i="12"/>
  <c r="U27" i="8"/>
  <c r="V27" i="8" s="1"/>
  <c r="W27" i="8"/>
  <c r="V29" i="1"/>
  <c r="T28" i="4"/>
  <c r="U28" i="4" s="1"/>
  <c r="V28" i="4" s="1"/>
  <c r="S29" i="4"/>
  <c r="T38" i="12" l="1"/>
  <c r="U38" i="12" s="1"/>
  <c r="V38" i="12" s="1"/>
  <c r="S39" i="12"/>
  <c r="T30" i="14"/>
  <c r="U30" i="14" s="1"/>
  <c r="V30" i="14" s="1"/>
  <c r="S31" i="14"/>
  <c r="T34" i="10"/>
  <c r="S35" i="10"/>
  <c r="U28" i="8"/>
  <c r="V28" i="8" s="1"/>
  <c r="W28" i="8"/>
  <c r="U33" i="10"/>
  <c r="V33" i="10" s="1"/>
  <c r="W33" i="10"/>
  <c r="T29" i="8"/>
  <c r="S30" i="8"/>
  <c r="T31" i="1"/>
  <c r="W31" i="1"/>
  <c r="X31" i="1" s="1"/>
  <c r="Y31" i="1" s="1"/>
  <c r="S32" i="1"/>
  <c r="U31" i="1"/>
  <c r="V31" i="1" s="1"/>
  <c r="T29" i="2"/>
  <c r="U29" i="2" s="1"/>
  <c r="V29" i="2" s="1"/>
  <c r="S30" i="2"/>
  <c r="Y26" i="8"/>
  <c r="X27" i="8"/>
  <c r="T31" i="5"/>
  <c r="U31" i="5" s="1"/>
  <c r="V31" i="5" s="1"/>
  <c r="S32" i="5"/>
  <c r="T31" i="15"/>
  <c r="U31" i="15" s="1"/>
  <c r="V31" i="15" s="1"/>
  <c r="S32" i="15"/>
  <c r="T30" i="11"/>
  <c r="U30" i="11" s="1"/>
  <c r="V30" i="11" s="1"/>
  <c r="S31" i="11"/>
  <c r="T30" i="13"/>
  <c r="U30" i="13" s="1"/>
  <c r="V30" i="13" s="1"/>
  <c r="S31" i="13"/>
  <c r="Y31" i="10"/>
  <c r="X32" i="10"/>
  <c r="T29" i="4"/>
  <c r="U29" i="4" s="1"/>
  <c r="V29" i="4" s="1"/>
  <c r="S30" i="4"/>
  <c r="T30" i="4" l="1"/>
  <c r="U30" i="4" s="1"/>
  <c r="V30" i="4" s="1"/>
  <c r="S31" i="4"/>
  <c r="T30" i="8"/>
  <c r="S31" i="8"/>
  <c r="S33" i="1"/>
  <c r="W32" i="1"/>
  <c r="X32" i="1" s="1"/>
  <c r="Y32" i="1" s="1"/>
  <c r="U32" i="1"/>
  <c r="T32" i="1"/>
  <c r="U29" i="8"/>
  <c r="V29" i="8" s="1"/>
  <c r="W29" i="8"/>
  <c r="Y27" i="8"/>
  <c r="X28" i="8"/>
  <c r="T31" i="14"/>
  <c r="U31" i="14" s="1"/>
  <c r="V31" i="14" s="1"/>
  <c r="S32" i="14"/>
  <c r="T31" i="11"/>
  <c r="U31" i="11" s="1"/>
  <c r="V31" i="11" s="1"/>
  <c r="S32" i="11"/>
  <c r="T32" i="5"/>
  <c r="U32" i="5" s="1"/>
  <c r="V32" i="5" s="1"/>
  <c r="S33" i="5"/>
  <c r="T30" i="2"/>
  <c r="U30" i="2" s="1"/>
  <c r="V30" i="2" s="1"/>
  <c r="S31" i="2"/>
  <c r="X33" i="10"/>
  <c r="Y32" i="10"/>
  <c r="T35" i="10"/>
  <c r="S36" i="10"/>
  <c r="T39" i="12"/>
  <c r="U39" i="12" s="1"/>
  <c r="V39" i="12" s="1"/>
  <c r="S40" i="12"/>
  <c r="T31" i="13"/>
  <c r="U31" i="13" s="1"/>
  <c r="V31" i="13" s="1"/>
  <c r="S32" i="13"/>
  <c r="T32" i="15"/>
  <c r="U32" i="15" s="1"/>
  <c r="V32" i="15" s="1"/>
  <c r="S33" i="15"/>
  <c r="U34" i="10"/>
  <c r="V34" i="10" s="1"/>
  <c r="W34" i="10"/>
  <c r="T32" i="13" l="1"/>
  <c r="U32" i="13" s="1"/>
  <c r="V32" i="13" s="1"/>
  <c r="S33" i="13"/>
  <c r="T36" i="10"/>
  <c r="S37" i="10"/>
  <c r="T32" i="11"/>
  <c r="U32" i="11" s="1"/>
  <c r="V32" i="11" s="1"/>
  <c r="S33" i="11"/>
  <c r="T31" i="8"/>
  <c r="S32" i="8"/>
  <c r="U35" i="10"/>
  <c r="V35" i="10" s="1"/>
  <c r="W35" i="10"/>
  <c r="V32" i="1"/>
  <c r="U30" i="8"/>
  <c r="V30" i="8" s="1"/>
  <c r="W30" i="8"/>
  <c r="X34" i="10"/>
  <c r="Y33" i="10"/>
  <c r="T31" i="2"/>
  <c r="U31" i="2" s="1"/>
  <c r="V31" i="2" s="1"/>
  <c r="S32" i="2"/>
  <c r="T33" i="15"/>
  <c r="U33" i="15" s="1"/>
  <c r="V33" i="15" s="1"/>
  <c r="S34" i="15"/>
  <c r="T40" i="12"/>
  <c r="U40" i="12" s="1"/>
  <c r="V40" i="12" s="1"/>
  <c r="S41" i="12"/>
  <c r="T33" i="5"/>
  <c r="U33" i="5" s="1"/>
  <c r="V33" i="5" s="1"/>
  <c r="S34" i="5"/>
  <c r="T32" i="14"/>
  <c r="U32" i="14" s="1"/>
  <c r="V32" i="14" s="1"/>
  <c r="S33" i="14"/>
  <c r="Y28" i="8"/>
  <c r="X29" i="8"/>
  <c r="S32" i="4"/>
  <c r="T31" i="4"/>
  <c r="U31" i="4" s="1"/>
  <c r="V31" i="4" s="1"/>
  <c r="T33" i="1"/>
  <c r="W33" i="1"/>
  <c r="X33" i="1" s="1"/>
  <c r="Y33" i="1" s="1"/>
  <c r="U33" i="1"/>
  <c r="V33" i="1" s="1"/>
  <c r="S34" i="1"/>
  <c r="T32" i="8" l="1"/>
  <c r="S33" i="8"/>
  <c r="T37" i="10"/>
  <c r="S38" i="10"/>
  <c r="T34" i="5"/>
  <c r="U34" i="5" s="1"/>
  <c r="V34" i="5" s="1"/>
  <c r="S35" i="5"/>
  <c r="T34" i="15"/>
  <c r="U34" i="15" s="1"/>
  <c r="V34" i="15" s="1"/>
  <c r="S35" i="15"/>
  <c r="U31" i="8"/>
  <c r="V31" i="8" s="1"/>
  <c r="W31" i="8"/>
  <c r="U36" i="10"/>
  <c r="V36" i="10" s="1"/>
  <c r="W36" i="10"/>
  <c r="T32" i="4"/>
  <c r="U32" i="4" s="1"/>
  <c r="V32" i="4" s="1"/>
  <c r="S33" i="4"/>
  <c r="Y34" i="10"/>
  <c r="X35" i="10"/>
  <c r="T33" i="11"/>
  <c r="U33" i="11" s="1"/>
  <c r="V33" i="11" s="1"/>
  <c r="S34" i="11"/>
  <c r="T33" i="13"/>
  <c r="U33" i="13" s="1"/>
  <c r="V33" i="13" s="1"/>
  <c r="S34" i="13"/>
  <c r="W34" i="1"/>
  <c r="X34" i="1" s="1"/>
  <c r="Y34" i="1" s="1"/>
  <c r="T34" i="1"/>
  <c r="S35" i="1"/>
  <c r="U34" i="1"/>
  <c r="V34" i="1" s="1"/>
  <c r="T33" i="14"/>
  <c r="U33" i="14" s="1"/>
  <c r="V33" i="14" s="1"/>
  <c r="S34" i="14"/>
  <c r="T41" i="12"/>
  <c r="U41" i="12" s="1"/>
  <c r="V41" i="12" s="1"/>
  <c r="S42" i="12"/>
  <c r="T32" i="2"/>
  <c r="U32" i="2" s="1"/>
  <c r="V32" i="2" s="1"/>
  <c r="S33" i="2"/>
  <c r="Y29" i="8"/>
  <c r="X30" i="8"/>
  <c r="T42" i="12" l="1"/>
  <c r="U42" i="12" s="1"/>
  <c r="V42" i="12" s="1"/>
  <c r="S43" i="12"/>
  <c r="T34" i="13"/>
  <c r="U34" i="13" s="1"/>
  <c r="V34" i="13" s="1"/>
  <c r="S35" i="13"/>
  <c r="W35" i="1"/>
  <c r="X35" i="1" s="1"/>
  <c r="Y35" i="1" s="1"/>
  <c r="U35" i="1"/>
  <c r="S36" i="1"/>
  <c r="T35" i="1"/>
  <c r="U37" i="10"/>
  <c r="V37" i="10" s="1"/>
  <c r="W37" i="10"/>
  <c r="Y35" i="10"/>
  <c r="X36" i="10"/>
  <c r="T35" i="15"/>
  <c r="U35" i="15" s="1"/>
  <c r="V35" i="15" s="1"/>
  <c r="S36" i="15"/>
  <c r="T38" i="10"/>
  <c r="S39" i="10"/>
  <c r="T33" i="2"/>
  <c r="U33" i="2" s="1"/>
  <c r="V33" i="2" s="1"/>
  <c r="S34" i="2"/>
  <c r="T34" i="14"/>
  <c r="U34" i="14" s="1"/>
  <c r="V34" i="14" s="1"/>
  <c r="S35" i="14"/>
  <c r="T34" i="11"/>
  <c r="U34" i="11" s="1"/>
  <c r="V34" i="11" s="1"/>
  <c r="S35" i="11"/>
  <c r="T33" i="4"/>
  <c r="U33" i="4" s="1"/>
  <c r="V33" i="4" s="1"/>
  <c r="S34" i="4"/>
  <c r="Y30" i="8"/>
  <c r="X31" i="8"/>
  <c r="T35" i="5"/>
  <c r="U35" i="5" s="1"/>
  <c r="V35" i="5" s="1"/>
  <c r="S36" i="5"/>
  <c r="T33" i="8"/>
  <c r="S34" i="8"/>
  <c r="U32" i="8"/>
  <c r="V32" i="8" s="1"/>
  <c r="W32" i="8"/>
  <c r="Y31" i="8" l="1"/>
  <c r="X32" i="8"/>
  <c r="T34" i="4"/>
  <c r="U34" i="4" s="1"/>
  <c r="V34" i="4" s="1"/>
  <c r="S35" i="4"/>
  <c r="T35" i="14"/>
  <c r="U35" i="14" s="1"/>
  <c r="V35" i="14" s="1"/>
  <c r="S36" i="14"/>
  <c r="T39" i="10"/>
  <c r="S40" i="10"/>
  <c r="T35" i="13"/>
  <c r="U35" i="13" s="1"/>
  <c r="V35" i="13" s="1"/>
  <c r="S36" i="13"/>
  <c r="U38" i="10"/>
  <c r="V38" i="10" s="1"/>
  <c r="W38" i="10"/>
  <c r="S37" i="1"/>
  <c r="W36" i="1"/>
  <c r="X36" i="1" s="1"/>
  <c r="Y36" i="1" s="1"/>
  <c r="U36" i="1"/>
  <c r="T36" i="1"/>
  <c r="U33" i="8"/>
  <c r="V33" i="8" s="1"/>
  <c r="W33" i="8"/>
  <c r="T36" i="5"/>
  <c r="U36" i="5" s="1"/>
  <c r="V36" i="5" s="1"/>
  <c r="S37" i="5"/>
  <c r="T34" i="8"/>
  <c r="S35" i="8"/>
  <c r="T35" i="11"/>
  <c r="U35" i="11" s="1"/>
  <c r="V35" i="11" s="1"/>
  <c r="S36" i="11"/>
  <c r="T34" i="2"/>
  <c r="U34" i="2" s="1"/>
  <c r="V34" i="2" s="1"/>
  <c r="S35" i="2"/>
  <c r="T36" i="15"/>
  <c r="U36" i="15" s="1"/>
  <c r="V36" i="15" s="1"/>
  <c r="S37" i="15"/>
  <c r="X37" i="10"/>
  <c r="Y36" i="10"/>
  <c r="V35" i="1"/>
  <c r="T43" i="12"/>
  <c r="U43" i="12" s="1"/>
  <c r="V43" i="12" s="1"/>
  <c r="S44" i="12"/>
  <c r="T37" i="15" l="1"/>
  <c r="U37" i="15" s="1"/>
  <c r="V37" i="15" s="1"/>
  <c r="S38" i="15"/>
  <c r="T36" i="11"/>
  <c r="U36" i="11" s="1"/>
  <c r="V36" i="11" s="1"/>
  <c r="S37" i="11"/>
  <c r="T37" i="5"/>
  <c r="U37" i="5" s="1"/>
  <c r="V37" i="5" s="1"/>
  <c r="S38" i="5"/>
  <c r="T40" i="10"/>
  <c r="S41" i="10"/>
  <c r="V36" i="1"/>
  <c r="U39" i="10"/>
  <c r="V39" i="10" s="1"/>
  <c r="W39" i="10"/>
  <c r="T35" i="2"/>
  <c r="U35" i="2" s="1"/>
  <c r="V35" i="2" s="1"/>
  <c r="S36" i="2"/>
  <c r="T35" i="8"/>
  <c r="S36" i="8"/>
  <c r="Y32" i="8"/>
  <c r="X33" i="8"/>
  <c r="T36" i="13"/>
  <c r="U36" i="13" s="1"/>
  <c r="V36" i="13" s="1"/>
  <c r="S37" i="13"/>
  <c r="T36" i="14"/>
  <c r="U36" i="14" s="1"/>
  <c r="V36" i="14" s="1"/>
  <c r="S37" i="14"/>
  <c r="X38" i="10"/>
  <c r="Y37" i="10"/>
  <c r="S36" i="4"/>
  <c r="T35" i="4"/>
  <c r="U35" i="4" s="1"/>
  <c r="V35" i="4" s="1"/>
  <c r="T44" i="12"/>
  <c r="U44" i="12" s="1"/>
  <c r="V44" i="12" s="1"/>
  <c r="S45" i="12"/>
  <c r="U34" i="8"/>
  <c r="V34" i="8" s="1"/>
  <c r="W34" i="8"/>
  <c r="U37" i="1"/>
  <c r="S38" i="1"/>
  <c r="T37" i="1"/>
  <c r="W37" i="1"/>
  <c r="X37" i="1" s="1"/>
  <c r="Y37" i="1" s="1"/>
  <c r="T36" i="4" l="1"/>
  <c r="U36" i="4" s="1"/>
  <c r="V36" i="4" s="1"/>
  <c r="S37" i="4"/>
  <c r="T41" i="10"/>
  <c r="S42" i="10"/>
  <c r="T37" i="11"/>
  <c r="U37" i="11" s="1"/>
  <c r="V37" i="11" s="1"/>
  <c r="S38" i="11"/>
  <c r="T38" i="1"/>
  <c r="S39" i="1"/>
  <c r="U38" i="1"/>
  <c r="V38" i="1" s="1"/>
  <c r="W38" i="1"/>
  <c r="X38" i="1" s="1"/>
  <c r="Y38" i="1" s="1"/>
  <c r="T45" i="12"/>
  <c r="U45" i="12" s="1"/>
  <c r="V45" i="12" s="1"/>
  <c r="S46" i="12"/>
  <c r="T37" i="13"/>
  <c r="U37" i="13" s="1"/>
  <c r="V37" i="13" s="1"/>
  <c r="S38" i="13"/>
  <c r="T36" i="8"/>
  <c r="S37" i="8"/>
  <c r="Y38" i="10"/>
  <c r="X39" i="10"/>
  <c r="U40" i="10"/>
  <c r="V40" i="10" s="1"/>
  <c r="W40" i="10"/>
  <c r="V37" i="1"/>
  <c r="U35" i="8"/>
  <c r="V35" i="8" s="1"/>
  <c r="W35" i="8"/>
  <c r="T38" i="5"/>
  <c r="U38" i="5" s="1"/>
  <c r="V38" i="5" s="1"/>
  <c r="S39" i="5"/>
  <c r="T38" i="15"/>
  <c r="U38" i="15" s="1"/>
  <c r="V38" i="15" s="1"/>
  <c r="S39" i="15"/>
  <c r="Y33" i="8"/>
  <c r="X34" i="8"/>
  <c r="T37" i="14"/>
  <c r="U37" i="14" s="1"/>
  <c r="V37" i="14" s="1"/>
  <c r="S38" i="14"/>
  <c r="T36" i="2"/>
  <c r="U36" i="2" s="1"/>
  <c r="V36" i="2" s="1"/>
  <c r="S37" i="2"/>
  <c r="T37" i="8" l="1"/>
  <c r="S38" i="8"/>
  <c r="T42" i="10"/>
  <c r="S43" i="10"/>
  <c r="T38" i="14"/>
  <c r="U38" i="14" s="1"/>
  <c r="V38" i="14" s="1"/>
  <c r="S39" i="14"/>
  <c r="Y34" i="8"/>
  <c r="X35" i="8"/>
  <c r="U36" i="8"/>
  <c r="V36" i="8" s="1"/>
  <c r="W36" i="8"/>
  <c r="U41" i="10"/>
  <c r="V41" i="10" s="1"/>
  <c r="W41" i="10"/>
  <c r="Y39" i="10"/>
  <c r="X40" i="10"/>
  <c r="T39" i="1"/>
  <c r="U39" i="1"/>
  <c r="V39" i="1" s="1"/>
  <c r="S40" i="1"/>
  <c r="W39" i="1"/>
  <c r="X39" i="1" s="1"/>
  <c r="Y39" i="1" s="1"/>
  <c r="T39" i="15"/>
  <c r="U39" i="15" s="1"/>
  <c r="V39" i="15" s="1"/>
  <c r="S40" i="15"/>
  <c r="T38" i="13"/>
  <c r="U38" i="13" s="1"/>
  <c r="V38" i="13" s="1"/>
  <c r="S39" i="13"/>
  <c r="T38" i="11"/>
  <c r="U38" i="11" s="1"/>
  <c r="V38" i="11" s="1"/>
  <c r="S39" i="11"/>
  <c r="T37" i="4"/>
  <c r="U37" i="4" s="1"/>
  <c r="V37" i="4" s="1"/>
  <c r="S38" i="4"/>
  <c r="T46" i="12"/>
  <c r="U46" i="12" s="1"/>
  <c r="V46" i="12" s="1"/>
  <c r="S47" i="12"/>
  <c r="T37" i="2"/>
  <c r="U37" i="2" s="1"/>
  <c r="V37" i="2" s="1"/>
  <c r="S38" i="2"/>
  <c r="T39" i="5"/>
  <c r="U39" i="5" s="1"/>
  <c r="V39" i="5" s="1"/>
  <c r="S40" i="5"/>
  <c r="T39" i="11" l="1"/>
  <c r="U39" i="11" s="1"/>
  <c r="V39" i="11" s="1"/>
  <c r="S40" i="11"/>
  <c r="U42" i="10"/>
  <c r="V42" i="10" s="1"/>
  <c r="W42" i="10"/>
  <c r="X41" i="10"/>
  <c r="Y40" i="10"/>
  <c r="T43" i="10"/>
  <c r="S44" i="10"/>
  <c r="T38" i="2"/>
  <c r="U38" i="2" s="1"/>
  <c r="V38" i="2" s="1"/>
  <c r="S39" i="2"/>
  <c r="T38" i="4"/>
  <c r="U38" i="4" s="1"/>
  <c r="V38" i="4" s="1"/>
  <c r="S39" i="4"/>
  <c r="T39" i="13"/>
  <c r="U39" i="13" s="1"/>
  <c r="V39" i="13" s="1"/>
  <c r="S40" i="13"/>
  <c r="Y35" i="8"/>
  <c r="X36" i="8"/>
  <c r="T39" i="14"/>
  <c r="U39" i="14" s="1"/>
  <c r="V39" i="14" s="1"/>
  <c r="S40" i="14"/>
  <c r="T38" i="8"/>
  <c r="S39" i="8"/>
  <c r="T40" i="5"/>
  <c r="U40" i="5" s="1"/>
  <c r="V40" i="5" s="1"/>
  <c r="S41" i="5"/>
  <c r="T47" i="12"/>
  <c r="U47" i="12" s="1"/>
  <c r="V47" i="12" s="1"/>
  <c r="S48" i="12"/>
  <c r="T40" i="15"/>
  <c r="U40" i="15" s="1"/>
  <c r="V40" i="15" s="1"/>
  <c r="S41" i="15"/>
  <c r="S41" i="1"/>
  <c r="U40" i="1"/>
  <c r="V40" i="1" s="1"/>
  <c r="W40" i="1"/>
  <c r="X40" i="1" s="1"/>
  <c r="Y40" i="1" s="1"/>
  <c r="T40" i="1"/>
  <c r="U37" i="8"/>
  <c r="V37" i="8" s="1"/>
  <c r="W37" i="8"/>
  <c r="Y36" i="8" l="1"/>
  <c r="X37" i="8"/>
  <c r="T48" i="12"/>
  <c r="U48" i="12" s="1"/>
  <c r="V48" i="12" s="1"/>
  <c r="S49" i="12"/>
  <c r="T39" i="8"/>
  <c r="S40" i="8"/>
  <c r="S40" i="4"/>
  <c r="T39" i="4"/>
  <c r="U39" i="4" s="1"/>
  <c r="V39" i="4" s="1"/>
  <c r="T44" i="10"/>
  <c r="S45" i="10"/>
  <c r="T41" i="1"/>
  <c r="U41" i="1"/>
  <c r="V41" i="1" s="1"/>
  <c r="W41" i="1"/>
  <c r="X41" i="1" s="1"/>
  <c r="Y41" i="1" s="1"/>
  <c r="S42" i="1"/>
  <c r="U38" i="8"/>
  <c r="V38" i="8" s="1"/>
  <c r="W38" i="8"/>
  <c r="U43" i="10"/>
  <c r="V43" i="10" s="1"/>
  <c r="W43" i="10"/>
  <c r="X42" i="10"/>
  <c r="Y41" i="10"/>
  <c r="T41" i="15"/>
  <c r="U41" i="15" s="1"/>
  <c r="V41" i="15" s="1"/>
  <c r="S42" i="15"/>
  <c r="T41" i="5"/>
  <c r="U41" i="5" s="1"/>
  <c r="V41" i="5" s="1"/>
  <c r="S42" i="5"/>
  <c r="T40" i="14"/>
  <c r="U40" i="14" s="1"/>
  <c r="V40" i="14" s="1"/>
  <c r="S41" i="14"/>
  <c r="T40" i="13"/>
  <c r="U40" i="13" s="1"/>
  <c r="V40" i="13" s="1"/>
  <c r="S41" i="13"/>
  <c r="T39" i="2"/>
  <c r="U39" i="2" s="1"/>
  <c r="V39" i="2" s="1"/>
  <c r="S40" i="2"/>
  <c r="T40" i="11"/>
  <c r="U40" i="11" s="1"/>
  <c r="V40" i="11" s="1"/>
  <c r="S41" i="11"/>
  <c r="Y37" i="8" l="1"/>
  <c r="X38" i="8"/>
  <c r="T49" i="12"/>
  <c r="U49" i="12" s="1"/>
  <c r="V49" i="12" s="1"/>
  <c r="S50" i="12"/>
  <c r="T40" i="4"/>
  <c r="U40" i="4" s="1"/>
  <c r="V40" i="4" s="1"/>
  <c r="S41" i="4"/>
  <c r="T41" i="11"/>
  <c r="U41" i="11" s="1"/>
  <c r="V41" i="11" s="1"/>
  <c r="S42" i="11"/>
  <c r="T41" i="13"/>
  <c r="U41" i="13" s="1"/>
  <c r="V41" i="13" s="1"/>
  <c r="S42" i="13"/>
  <c r="T42" i="5"/>
  <c r="U42" i="5" s="1"/>
  <c r="V42" i="5" s="1"/>
  <c r="S43" i="5"/>
  <c r="T40" i="2"/>
  <c r="U40" i="2" s="1"/>
  <c r="V40" i="2" s="1"/>
  <c r="S41" i="2"/>
  <c r="T41" i="14"/>
  <c r="U41" i="14" s="1"/>
  <c r="V41" i="14" s="1"/>
  <c r="S42" i="14"/>
  <c r="T42" i="15"/>
  <c r="U42" i="15" s="1"/>
  <c r="V42" i="15" s="1"/>
  <c r="S43" i="15"/>
  <c r="Y42" i="10"/>
  <c r="X43" i="10"/>
  <c r="W42" i="1"/>
  <c r="X42" i="1" s="1"/>
  <c r="Y42" i="1" s="1"/>
  <c r="S43" i="1"/>
  <c r="T42" i="1"/>
  <c r="U42" i="1"/>
  <c r="V42" i="1" s="1"/>
  <c r="T45" i="10"/>
  <c r="S46" i="10"/>
  <c r="T40" i="8"/>
  <c r="S41" i="8"/>
  <c r="U44" i="10"/>
  <c r="V44" i="10" s="1"/>
  <c r="W44" i="10"/>
  <c r="U39" i="8"/>
  <c r="V39" i="8" s="1"/>
  <c r="W39" i="8"/>
  <c r="U45" i="10" l="1"/>
  <c r="V45" i="10" s="1"/>
  <c r="W45" i="10"/>
  <c r="T42" i="14"/>
  <c r="U42" i="14" s="1"/>
  <c r="V42" i="14" s="1"/>
  <c r="S43" i="14"/>
  <c r="T43" i="5"/>
  <c r="U43" i="5" s="1"/>
  <c r="V43" i="5" s="1"/>
  <c r="S44" i="5"/>
  <c r="T42" i="11"/>
  <c r="U42" i="11" s="1"/>
  <c r="V42" i="11" s="1"/>
  <c r="S43" i="11"/>
  <c r="T50" i="12"/>
  <c r="U50" i="12" s="1"/>
  <c r="V50" i="12" s="1"/>
  <c r="S51" i="12"/>
  <c r="U40" i="8"/>
  <c r="V40" i="8" s="1"/>
  <c r="W40" i="8"/>
  <c r="Y38" i="8"/>
  <c r="X39" i="8"/>
  <c r="T41" i="8"/>
  <c r="S42" i="8"/>
  <c r="Y43" i="10"/>
  <c r="X44" i="10"/>
  <c r="T46" i="10"/>
  <c r="S47" i="10"/>
  <c r="T43" i="1"/>
  <c r="U43" i="1"/>
  <c r="W43" i="1"/>
  <c r="X43" i="1" s="1"/>
  <c r="Y43" i="1" s="1"/>
  <c r="S44" i="1"/>
  <c r="T43" i="15"/>
  <c r="U43" i="15" s="1"/>
  <c r="V43" i="15" s="1"/>
  <c r="S44" i="15"/>
  <c r="T41" i="2"/>
  <c r="U41" i="2" s="1"/>
  <c r="V41" i="2" s="1"/>
  <c r="S42" i="2"/>
  <c r="T42" i="13"/>
  <c r="U42" i="13" s="1"/>
  <c r="V42" i="13" s="1"/>
  <c r="S43" i="13"/>
  <c r="T41" i="4"/>
  <c r="U41" i="4" s="1"/>
  <c r="V41" i="4" s="1"/>
  <c r="S42" i="4"/>
  <c r="Y39" i="8" l="1"/>
  <c r="X40" i="8"/>
  <c r="T43" i="11"/>
  <c r="U43" i="11" s="1"/>
  <c r="V43" i="11" s="1"/>
  <c r="S44" i="11"/>
  <c r="T43" i="14"/>
  <c r="U43" i="14" s="1"/>
  <c r="V43" i="14" s="1"/>
  <c r="S44" i="14"/>
  <c r="U46" i="10"/>
  <c r="V46" i="10" s="1"/>
  <c r="W46" i="10"/>
  <c r="U41" i="8"/>
  <c r="V41" i="8" s="1"/>
  <c r="W41" i="8"/>
  <c r="T42" i="4"/>
  <c r="U42" i="4" s="1"/>
  <c r="V42" i="4" s="1"/>
  <c r="S43" i="4"/>
  <c r="T42" i="2"/>
  <c r="U42" i="2" s="1"/>
  <c r="V42" i="2" s="1"/>
  <c r="S43" i="2"/>
  <c r="S45" i="1"/>
  <c r="W44" i="1"/>
  <c r="X44" i="1" s="1"/>
  <c r="Y44" i="1" s="1"/>
  <c r="T44" i="1"/>
  <c r="U44" i="1"/>
  <c r="T47" i="10"/>
  <c r="S48" i="10"/>
  <c r="T42" i="8"/>
  <c r="S43" i="8"/>
  <c r="T43" i="13"/>
  <c r="U43" i="13" s="1"/>
  <c r="V43" i="13" s="1"/>
  <c r="S44" i="13"/>
  <c r="T44" i="15"/>
  <c r="U44" i="15" s="1"/>
  <c r="V44" i="15" s="1"/>
  <c r="S45" i="15"/>
  <c r="V43" i="1"/>
  <c r="T51" i="12"/>
  <c r="U51" i="12" s="1"/>
  <c r="V51" i="12" s="1"/>
  <c r="S52" i="12"/>
  <c r="T44" i="5"/>
  <c r="U44" i="5" s="1"/>
  <c r="V44" i="5" s="1"/>
  <c r="S45" i="5"/>
  <c r="X45" i="10"/>
  <c r="Y44" i="10"/>
  <c r="T44" i="13" l="1"/>
  <c r="U44" i="13" s="1"/>
  <c r="V44" i="13" s="1"/>
  <c r="S45" i="13"/>
  <c r="T48" i="10"/>
  <c r="S49" i="10"/>
  <c r="S44" i="4"/>
  <c r="T43" i="4"/>
  <c r="U43" i="4" s="1"/>
  <c r="V43" i="4" s="1"/>
  <c r="T44" i="11"/>
  <c r="U44" i="11" s="1"/>
  <c r="V44" i="11" s="1"/>
  <c r="S45" i="11"/>
  <c r="T45" i="5"/>
  <c r="U45" i="5" s="1"/>
  <c r="V45" i="5" s="1"/>
  <c r="S46" i="5"/>
  <c r="U47" i="10"/>
  <c r="V47" i="10" s="1"/>
  <c r="W47" i="10"/>
  <c r="U45" i="1"/>
  <c r="V45" i="1" s="1"/>
  <c r="S46" i="1"/>
  <c r="T45" i="1"/>
  <c r="W45" i="1"/>
  <c r="X45" i="1" s="1"/>
  <c r="Y45" i="1" s="1"/>
  <c r="X46" i="10"/>
  <c r="Y45" i="10"/>
  <c r="T45" i="15"/>
  <c r="U45" i="15" s="1"/>
  <c r="V45" i="15" s="1"/>
  <c r="S46" i="15"/>
  <c r="T43" i="8"/>
  <c r="S44" i="8"/>
  <c r="V44" i="1"/>
  <c r="T43" i="2"/>
  <c r="U43" i="2" s="1"/>
  <c r="V43" i="2" s="1"/>
  <c r="S44" i="2"/>
  <c r="Y40" i="8"/>
  <c r="X41" i="8"/>
  <c r="T44" i="14"/>
  <c r="U44" i="14" s="1"/>
  <c r="V44" i="14" s="1"/>
  <c r="S45" i="14"/>
  <c r="T52" i="12"/>
  <c r="U52" i="12" s="1"/>
  <c r="V52" i="12" s="1"/>
  <c r="S53" i="12"/>
  <c r="U42" i="8"/>
  <c r="V42" i="8" s="1"/>
  <c r="W42" i="8"/>
  <c r="Y46" i="10" l="1"/>
  <c r="X47" i="10"/>
  <c r="T49" i="10"/>
  <c r="S50" i="10"/>
  <c r="U48" i="10"/>
  <c r="V48" i="10" s="1"/>
  <c r="W48" i="10"/>
  <c r="T46" i="15"/>
  <c r="U46" i="15" s="1"/>
  <c r="V46" i="15" s="1"/>
  <c r="S47" i="15"/>
  <c r="T45" i="11"/>
  <c r="U45" i="11" s="1"/>
  <c r="V45" i="11" s="1"/>
  <c r="S46" i="11"/>
  <c r="T53" i="12"/>
  <c r="U53" i="12" s="1"/>
  <c r="V53" i="12" s="1"/>
  <c r="S54" i="12"/>
  <c r="T44" i="8"/>
  <c r="S45" i="8"/>
  <c r="W46" i="1"/>
  <c r="X46" i="1" s="1"/>
  <c r="Y46" i="1" s="1"/>
  <c r="T46" i="1"/>
  <c r="U46" i="1"/>
  <c r="S47" i="1"/>
  <c r="T46" i="5"/>
  <c r="U46" i="5" s="1"/>
  <c r="V46" i="5" s="1"/>
  <c r="S47" i="5"/>
  <c r="T45" i="13"/>
  <c r="U45" i="13" s="1"/>
  <c r="V45" i="13" s="1"/>
  <c r="S46" i="13"/>
  <c r="Y41" i="8"/>
  <c r="X42" i="8"/>
  <c r="T45" i="14"/>
  <c r="U45" i="14" s="1"/>
  <c r="V45" i="14" s="1"/>
  <c r="S46" i="14"/>
  <c r="T44" i="2"/>
  <c r="U44" i="2" s="1"/>
  <c r="V44" i="2" s="1"/>
  <c r="S45" i="2"/>
  <c r="U43" i="8"/>
  <c r="V43" i="8" s="1"/>
  <c r="W43" i="8"/>
  <c r="T44" i="4"/>
  <c r="U44" i="4" s="1"/>
  <c r="V44" i="4" s="1"/>
  <c r="S45" i="4"/>
  <c r="T45" i="2" l="1"/>
  <c r="U45" i="2" s="1"/>
  <c r="V45" i="2" s="1"/>
  <c r="S46" i="2"/>
  <c r="T47" i="5"/>
  <c r="U47" i="5" s="1"/>
  <c r="V47" i="5" s="1"/>
  <c r="S48" i="5"/>
  <c r="T54" i="12"/>
  <c r="U54" i="12" s="1"/>
  <c r="V54" i="12" s="1"/>
  <c r="S55" i="12"/>
  <c r="T47" i="15"/>
  <c r="U47" i="15" s="1"/>
  <c r="V47" i="15" s="1"/>
  <c r="S48" i="15"/>
  <c r="T50" i="10"/>
  <c r="S51" i="10"/>
  <c r="U49" i="10"/>
  <c r="V49" i="10" s="1"/>
  <c r="W49" i="10"/>
  <c r="Y42" i="8"/>
  <c r="X43" i="8"/>
  <c r="T46" i="14"/>
  <c r="U46" i="14" s="1"/>
  <c r="V46" i="14" s="1"/>
  <c r="S47" i="14"/>
  <c r="T46" i="13"/>
  <c r="U46" i="13" s="1"/>
  <c r="V46" i="13" s="1"/>
  <c r="S47" i="13"/>
  <c r="W47" i="1"/>
  <c r="X47" i="1" s="1"/>
  <c r="Y47" i="1" s="1"/>
  <c r="U47" i="1"/>
  <c r="V47" i="1" s="1"/>
  <c r="S48" i="1"/>
  <c r="T47" i="1"/>
  <c r="T45" i="8"/>
  <c r="S46" i="8"/>
  <c r="T46" i="11"/>
  <c r="U46" i="11" s="1"/>
  <c r="V46" i="11" s="1"/>
  <c r="S47" i="11"/>
  <c r="Y47" i="10"/>
  <c r="X48" i="10"/>
  <c r="T45" i="4"/>
  <c r="U45" i="4" s="1"/>
  <c r="V45" i="4" s="1"/>
  <c r="S46" i="4"/>
  <c r="V46" i="1"/>
  <c r="U44" i="8"/>
  <c r="V44" i="8" s="1"/>
  <c r="W44" i="8"/>
  <c r="T46" i="8" l="1"/>
  <c r="S47" i="8"/>
  <c r="T47" i="14"/>
  <c r="U47" i="14" s="1"/>
  <c r="V47" i="14" s="1"/>
  <c r="S48" i="14"/>
  <c r="T48" i="15"/>
  <c r="U48" i="15" s="1"/>
  <c r="V48" i="15" s="1"/>
  <c r="S49" i="15"/>
  <c r="X49" i="10"/>
  <c r="Y48" i="10"/>
  <c r="T48" i="5"/>
  <c r="U48" i="5" s="1"/>
  <c r="V48" i="5" s="1"/>
  <c r="S49" i="5"/>
  <c r="U45" i="8"/>
  <c r="V45" i="8" s="1"/>
  <c r="W45" i="8"/>
  <c r="T46" i="4"/>
  <c r="U46" i="4" s="1"/>
  <c r="V46" i="4" s="1"/>
  <c r="S47" i="4"/>
  <c r="T47" i="11"/>
  <c r="U47" i="11" s="1"/>
  <c r="V47" i="11" s="1"/>
  <c r="S48" i="11"/>
  <c r="T47" i="13"/>
  <c r="U47" i="13" s="1"/>
  <c r="V47" i="13" s="1"/>
  <c r="S48" i="13"/>
  <c r="T51" i="10"/>
  <c r="S52" i="10"/>
  <c r="T55" i="12"/>
  <c r="U55" i="12" s="1"/>
  <c r="V55" i="12" s="1"/>
  <c r="S56" i="12"/>
  <c r="T46" i="2"/>
  <c r="U46" i="2" s="1"/>
  <c r="V46" i="2" s="1"/>
  <c r="S47" i="2"/>
  <c r="Y43" i="8"/>
  <c r="X44" i="8"/>
  <c r="U48" i="1"/>
  <c r="T48" i="1"/>
  <c r="W48" i="1"/>
  <c r="X48" i="1" s="1"/>
  <c r="Y48" i="1" s="1"/>
  <c r="S49" i="1"/>
  <c r="U50" i="10"/>
  <c r="V50" i="10" s="1"/>
  <c r="W50" i="10"/>
  <c r="X50" i="10" l="1"/>
  <c r="Y49" i="10"/>
  <c r="T47" i="2"/>
  <c r="U47" i="2" s="1"/>
  <c r="V47" i="2" s="1"/>
  <c r="S48" i="2"/>
  <c r="T52" i="10"/>
  <c r="S53" i="10"/>
  <c r="T48" i="11"/>
  <c r="U48" i="11" s="1"/>
  <c r="V48" i="11" s="1"/>
  <c r="S49" i="11"/>
  <c r="U51" i="10"/>
  <c r="V51" i="10" s="1"/>
  <c r="W51" i="10"/>
  <c r="Y44" i="8"/>
  <c r="X45" i="8"/>
  <c r="T48" i="14"/>
  <c r="U48" i="14" s="1"/>
  <c r="V48" i="14" s="1"/>
  <c r="S49" i="14"/>
  <c r="V48" i="1"/>
  <c r="U49" i="1"/>
  <c r="V49" i="1" s="1"/>
  <c r="S50" i="1"/>
  <c r="W49" i="1"/>
  <c r="X49" i="1" s="1"/>
  <c r="Y49" i="1" s="1"/>
  <c r="T49" i="1"/>
  <c r="T56" i="12"/>
  <c r="U56" i="12" s="1"/>
  <c r="V56" i="12" s="1"/>
  <c r="S57" i="12"/>
  <c r="T48" i="13"/>
  <c r="U48" i="13" s="1"/>
  <c r="V48" i="13" s="1"/>
  <c r="S49" i="13"/>
  <c r="S48" i="4"/>
  <c r="T47" i="4"/>
  <c r="U47" i="4" s="1"/>
  <c r="V47" i="4" s="1"/>
  <c r="T49" i="5"/>
  <c r="U49" i="5" s="1"/>
  <c r="V49" i="5" s="1"/>
  <c r="S50" i="5"/>
  <c r="T49" i="15"/>
  <c r="U49" i="15" s="1"/>
  <c r="V49" i="15" s="1"/>
  <c r="S50" i="15"/>
  <c r="T47" i="8"/>
  <c r="S48" i="8"/>
  <c r="U46" i="8"/>
  <c r="V46" i="8" s="1"/>
  <c r="W46" i="8"/>
  <c r="T49" i="11" l="1"/>
  <c r="U49" i="11" s="1"/>
  <c r="V49" i="11" s="1"/>
  <c r="S50" i="11"/>
  <c r="T48" i="2"/>
  <c r="U48" i="2" s="1"/>
  <c r="V48" i="2" s="1"/>
  <c r="S49" i="2"/>
  <c r="T48" i="8"/>
  <c r="S49" i="8"/>
  <c r="T50" i="5"/>
  <c r="U50" i="5" s="1"/>
  <c r="V50" i="5" s="1"/>
  <c r="S51" i="5"/>
  <c r="T49" i="13"/>
  <c r="U49" i="13" s="1"/>
  <c r="V49" i="13" s="1"/>
  <c r="S50" i="13"/>
  <c r="T48" i="4"/>
  <c r="U48" i="4" s="1"/>
  <c r="V48" i="4" s="1"/>
  <c r="S49" i="4"/>
  <c r="U47" i="8"/>
  <c r="V47" i="8" s="1"/>
  <c r="W47" i="8"/>
  <c r="T49" i="14"/>
  <c r="U49" i="14" s="1"/>
  <c r="V49" i="14" s="1"/>
  <c r="S50" i="14"/>
  <c r="Y50" i="10"/>
  <c r="X51" i="10"/>
  <c r="T53" i="10"/>
  <c r="S54" i="10"/>
  <c r="Y45" i="8"/>
  <c r="X46" i="8"/>
  <c r="T50" i="15"/>
  <c r="U50" i="15" s="1"/>
  <c r="V50" i="15" s="1"/>
  <c r="S51" i="15"/>
  <c r="T57" i="12"/>
  <c r="U57" i="12" s="1"/>
  <c r="V57" i="12" s="1"/>
  <c r="S58" i="12"/>
  <c r="S51" i="1"/>
  <c r="T50" i="1"/>
  <c r="W50" i="1"/>
  <c r="X50" i="1" s="1"/>
  <c r="Y50" i="1" s="1"/>
  <c r="U50" i="1"/>
  <c r="U52" i="10"/>
  <c r="V52" i="10" s="1"/>
  <c r="W52" i="10"/>
  <c r="Y51" i="10" l="1"/>
  <c r="X52" i="10"/>
  <c r="T51" i="15"/>
  <c r="U51" i="15" s="1"/>
  <c r="V51" i="15" s="1"/>
  <c r="S52" i="15"/>
  <c r="T54" i="10"/>
  <c r="S55" i="10"/>
  <c r="T50" i="14"/>
  <c r="U50" i="14" s="1"/>
  <c r="V50" i="14" s="1"/>
  <c r="S51" i="14"/>
  <c r="T49" i="4"/>
  <c r="U49" i="4" s="1"/>
  <c r="V49" i="4" s="1"/>
  <c r="S50" i="4"/>
  <c r="T51" i="5"/>
  <c r="U51" i="5" s="1"/>
  <c r="V51" i="5" s="1"/>
  <c r="S52" i="5"/>
  <c r="T49" i="2"/>
  <c r="U49" i="2" s="1"/>
  <c r="V49" i="2" s="1"/>
  <c r="S50" i="2"/>
  <c r="U53" i="10"/>
  <c r="V53" i="10" s="1"/>
  <c r="W53" i="10"/>
  <c r="T51" i="1"/>
  <c r="W51" i="1"/>
  <c r="X51" i="1" s="1"/>
  <c r="Y51" i="1" s="1"/>
  <c r="S52" i="1"/>
  <c r="U51" i="1"/>
  <c r="V51" i="1" s="1"/>
  <c r="V50" i="1"/>
  <c r="T58" i="12"/>
  <c r="U58" i="12" s="1"/>
  <c r="V58" i="12" s="1"/>
  <c r="S59" i="12"/>
  <c r="Y46" i="8"/>
  <c r="X47" i="8"/>
  <c r="T50" i="13"/>
  <c r="U50" i="13" s="1"/>
  <c r="V50" i="13" s="1"/>
  <c r="S51" i="13"/>
  <c r="T49" i="8"/>
  <c r="S50" i="8"/>
  <c r="T50" i="11"/>
  <c r="U50" i="11" s="1"/>
  <c r="V50" i="11" s="1"/>
  <c r="S51" i="11"/>
  <c r="U48" i="8"/>
  <c r="V48" i="8" s="1"/>
  <c r="W48" i="8"/>
  <c r="X53" i="10" l="1"/>
  <c r="Y52" i="10"/>
  <c r="T51" i="14"/>
  <c r="U51" i="14" s="1"/>
  <c r="V51" i="14" s="1"/>
  <c r="S52" i="14"/>
  <c r="T51" i="11"/>
  <c r="U51" i="11" s="1"/>
  <c r="V51" i="11" s="1"/>
  <c r="S52" i="11"/>
  <c r="T51" i="13"/>
  <c r="U51" i="13" s="1"/>
  <c r="V51" i="13" s="1"/>
  <c r="S52" i="13"/>
  <c r="T59" i="12"/>
  <c r="U59" i="12" s="1"/>
  <c r="V59" i="12" s="1"/>
  <c r="S60" i="12"/>
  <c r="S53" i="1"/>
  <c r="T52" i="1"/>
  <c r="U52" i="1"/>
  <c r="W52" i="1"/>
  <c r="X52" i="1" s="1"/>
  <c r="Y52" i="1" s="1"/>
  <c r="U49" i="8"/>
  <c r="V49" i="8" s="1"/>
  <c r="W49" i="8"/>
  <c r="T52" i="5"/>
  <c r="U52" i="5" s="1"/>
  <c r="V52" i="5" s="1"/>
  <c r="S53" i="5"/>
  <c r="T52" i="15"/>
  <c r="U52" i="15" s="1"/>
  <c r="V52" i="15" s="1"/>
  <c r="S53" i="15"/>
  <c r="T50" i="2"/>
  <c r="U50" i="2" s="1"/>
  <c r="V50" i="2" s="1"/>
  <c r="S51" i="2"/>
  <c r="T50" i="4"/>
  <c r="U50" i="4" s="1"/>
  <c r="V50" i="4" s="1"/>
  <c r="S51" i="4"/>
  <c r="T55" i="10"/>
  <c r="S56" i="10"/>
  <c r="Y47" i="8"/>
  <c r="X48" i="8"/>
  <c r="T50" i="8"/>
  <c r="S51" i="8"/>
  <c r="U54" i="10"/>
  <c r="V54" i="10" s="1"/>
  <c r="W54" i="10"/>
  <c r="Y48" i="8" l="1"/>
  <c r="X49" i="8"/>
  <c r="S54" i="1"/>
  <c r="T53" i="1"/>
  <c r="W53" i="1"/>
  <c r="X53" i="1" s="1"/>
  <c r="Y53" i="1" s="1"/>
  <c r="U53" i="1"/>
  <c r="X54" i="10"/>
  <c r="Y53" i="10"/>
  <c r="S52" i="4"/>
  <c r="T51" i="4"/>
  <c r="U51" i="4" s="1"/>
  <c r="V51" i="4" s="1"/>
  <c r="T52" i="13"/>
  <c r="U52" i="13" s="1"/>
  <c r="V52" i="13" s="1"/>
  <c r="S53" i="13"/>
  <c r="T52" i="14"/>
  <c r="U52" i="14" s="1"/>
  <c r="V52" i="14" s="1"/>
  <c r="S53" i="14"/>
  <c r="T51" i="8"/>
  <c r="S52" i="8"/>
  <c r="T56" i="10"/>
  <c r="S57" i="10"/>
  <c r="T51" i="2"/>
  <c r="U51" i="2" s="1"/>
  <c r="V51" i="2" s="1"/>
  <c r="S52" i="2"/>
  <c r="T53" i="5"/>
  <c r="U53" i="5" s="1"/>
  <c r="V53" i="5" s="1"/>
  <c r="S54" i="5"/>
  <c r="T60" i="12"/>
  <c r="U60" i="12" s="1"/>
  <c r="V60" i="12" s="1"/>
  <c r="S61" i="12"/>
  <c r="T52" i="11"/>
  <c r="U52" i="11" s="1"/>
  <c r="V52" i="11" s="1"/>
  <c r="S53" i="11"/>
  <c r="T53" i="15"/>
  <c r="U53" i="15" s="1"/>
  <c r="V53" i="15" s="1"/>
  <c r="S54" i="15"/>
  <c r="U50" i="8"/>
  <c r="V50" i="8" s="1"/>
  <c r="W50" i="8"/>
  <c r="U55" i="10"/>
  <c r="V55" i="10" s="1"/>
  <c r="W55" i="10"/>
  <c r="V52" i="1"/>
  <c r="T54" i="15" l="1"/>
  <c r="U54" i="15" s="1"/>
  <c r="V54" i="15" s="1"/>
  <c r="S55" i="15"/>
  <c r="T52" i="2"/>
  <c r="U52" i="2" s="1"/>
  <c r="V52" i="2" s="1"/>
  <c r="S53" i="2"/>
  <c r="T53" i="13"/>
  <c r="U53" i="13" s="1"/>
  <c r="V53" i="13" s="1"/>
  <c r="S54" i="13"/>
  <c r="U51" i="8"/>
  <c r="V51" i="8" s="1"/>
  <c r="W51" i="8"/>
  <c r="U54" i="1"/>
  <c r="S55" i="1"/>
  <c r="W54" i="1"/>
  <c r="X54" i="1" s="1"/>
  <c r="Y54" i="1" s="1"/>
  <c r="T54" i="1"/>
  <c r="Y54" i="10"/>
  <c r="X55" i="10"/>
  <c r="T61" i="12"/>
  <c r="U61" i="12" s="1"/>
  <c r="V61" i="12" s="1"/>
  <c r="S62" i="12"/>
  <c r="T52" i="8"/>
  <c r="S53" i="8"/>
  <c r="Y49" i="8"/>
  <c r="X50" i="8"/>
  <c r="T53" i="11"/>
  <c r="U53" i="11" s="1"/>
  <c r="V53" i="11" s="1"/>
  <c r="S54" i="11"/>
  <c r="T54" i="5"/>
  <c r="U54" i="5" s="1"/>
  <c r="V54" i="5" s="1"/>
  <c r="S55" i="5"/>
  <c r="T57" i="10"/>
  <c r="S58" i="10"/>
  <c r="T53" i="14"/>
  <c r="U53" i="14" s="1"/>
  <c r="V53" i="14" s="1"/>
  <c r="S54" i="14"/>
  <c r="V53" i="1"/>
  <c r="U56" i="10"/>
  <c r="V56" i="10" s="1"/>
  <c r="W56" i="10"/>
  <c r="T52" i="4"/>
  <c r="U52" i="4" s="1"/>
  <c r="V52" i="4" s="1"/>
  <c r="S53" i="4"/>
  <c r="Y50" i="8" l="1"/>
  <c r="X51" i="8"/>
  <c r="Y55" i="10"/>
  <c r="X56" i="10"/>
  <c r="T58" i="10"/>
  <c r="S59" i="10"/>
  <c r="T54" i="11"/>
  <c r="U54" i="11" s="1"/>
  <c r="V54" i="11" s="1"/>
  <c r="S55" i="11"/>
  <c r="T53" i="8"/>
  <c r="S54" i="8"/>
  <c r="U55" i="1"/>
  <c r="V55" i="1" s="1"/>
  <c r="S56" i="1"/>
  <c r="W55" i="1"/>
  <c r="X55" i="1" s="1"/>
  <c r="Y55" i="1" s="1"/>
  <c r="T55" i="1"/>
  <c r="T54" i="13"/>
  <c r="U54" i="13" s="1"/>
  <c r="V54" i="13" s="1"/>
  <c r="S55" i="13"/>
  <c r="T55" i="15"/>
  <c r="U55" i="15" s="1"/>
  <c r="V55" i="15" s="1"/>
  <c r="S56" i="15"/>
  <c r="T54" i="14"/>
  <c r="U54" i="14" s="1"/>
  <c r="V54" i="14" s="1"/>
  <c r="S55" i="14"/>
  <c r="T55" i="5"/>
  <c r="U55" i="5" s="1"/>
  <c r="V55" i="5" s="1"/>
  <c r="S56" i="5"/>
  <c r="T62" i="12"/>
  <c r="U62" i="12" s="1"/>
  <c r="V62" i="12" s="1"/>
  <c r="S63" i="12"/>
  <c r="T53" i="2"/>
  <c r="U53" i="2" s="1"/>
  <c r="V53" i="2" s="1"/>
  <c r="S54" i="2"/>
  <c r="T53" i="4"/>
  <c r="U53" i="4" s="1"/>
  <c r="V53" i="4" s="1"/>
  <c r="S54" i="4"/>
  <c r="U57" i="10"/>
  <c r="V57" i="10" s="1"/>
  <c r="W57" i="10"/>
  <c r="U52" i="8"/>
  <c r="V52" i="8" s="1"/>
  <c r="W52" i="8"/>
  <c r="V54" i="1"/>
  <c r="T54" i="4" l="1"/>
  <c r="U54" i="4" s="1"/>
  <c r="V54" i="4" s="1"/>
  <c r="S55" i="4"/>
  <c r="T55" i="14"/>
  <c r="U55" i="14" s="1"/>
  <c r="V55" i="14" s="1"/>
  <c r="S56" i="14"/>
  <c r="S57" i="1"/>
  <c r="T56" i="1"/>
  <c r="W56" i="1"/>
  <c r="X56" i="1" s="1"/>
  <c r="Y56" i="1" s="1"/>
  <c r="U56" i="1"/>
  <c r="V56" i="1" s="1"/>
  <c r="Y51" i="8"/>
  <c r="X52" i="8"/>
  <c r="T63" i="12"/>
  <c r="U63" i="12" s="1"/>
  <c r="V63" i="12" s="1"/>
  <c r="S64" i="12"/>
  <c r="T55" i="13"/>
  <c r="U55" i="13" s="1"/>
  <c r="V55" i="13" s="1"/>
  <c r="S56" i="13"/>
  <c r="T55" i="11"/>
  <c r="U55" i="11" s="1"/>
  <c r="V55" i="11" s="1"/>
  <c r="S56" i="11"/>
  <c r="X57" i="10"/>
  <c r="Y56" i="10"/>
  <c r="T54" i="2"/>
  <c r="U54" i="2" s="1"/>
  <c r="V54" i="2" s="1"/>
  <c r="S55" i="2"/>
  <c r="T56" i="5"/>
  <c r="U56" i="5" s="1"/>
  <c r="V56" i="5" s="1"/>
  <c r="S57" i="5"/>
  <c r="T56" i="15"/>
  <c r="U56" i="15" s="1"/>
  <c r="V56" i="15" s="1"/>
  <c r="S57" i="15"/>
  <c r="T54" i="8"/>
  <c r="S55" i="8"/>
  <c r="T59" i="10"/>
  <c r="S60" i="10"/>
  <c r="U53" i="8"/>
  <c r="V53" i="8" s="1"/>
  <c r="W53" i="8"/>
  <c r="U58" i="10"/>
  <c r="V58" i="10" s="1"/>
  <c r="W58" i="10"/>
  <c r="X58" i="10" l="1"/>
  <c r="Y57" i="10"/>
  <c r="T56" i="11"/>
  <c r="U56" i="11" s="1"/>
  <c r="V56" i="11" s="1"/>
  <c r="S57" i="11"/>
  <c r="T60" i="10"/>
  <c r="S61" i="10"/>
  <c r="T64" i="12"/>
  <c r="U64" i="12" s="1"/>
  <c r="V64" i="12" s="1"/>
  <c r="S65" i="12"/>
  <c r="T56" i="14"/>
  <c r="U56" i="14" s="1"/>
  <c r="V56" i="14" s="1"/>
  <c r="S57" i="14"/>
  <c r="U59" i="10"/>
  <c r="V59" i="10" s="1"/>
  <c r="W59" i="10"/>
  <c r="Y52" i="8"/>
  <c r="X53" i="8"/>
  <c r="T55" i="8"/>
  <c r="S56" i="8"/>
  <c r="T57" i="5"/>
  <c r="U57" i="5" s="1"/>
  <c r="V57" i="5" s="1"/>
  <c r="S58" i="5"/>
  <c r="T56" i="13"/>
  <c r="U56" i="13" s="1"/>
  <c r="V56" i="13" s="1"/>
  <c r="S57" i="13"/>
  <c r="S56" i="4"/>
  <c r="T55" i="4"/>
  <c r="U55" i="4" s="1"/>
  <c r="V55" i="4" s="1"/>
  <c r="T57" i="15"/>
  <c r="U57" i="15" s="1"/>
  <c r="V57" i="15" s="1"/>
  <c r="S58" i="15"/>
  <c r="T55" i="2"/>
  <c r="U55" i="2" s="1"/>
  <c r="V55" i="2" s="1"/>
  <c r="S56" i="2"/>
  <c r="U54" i="8"/>
  <c r="V54" i="8" s="1"/>
  <c r="W54" i="8"/>
  <c r="U57" i="1"/>
  <c r="V57" i="1" s="1"/>
  <c r="T57" i="1"/>
  <c r="W57" i="1"/>
  <c r="X57" i="1" s="1"/>
  <c r="Y57" i="1" s="1"/>
  <c r="S58" i="1"/>
  <c r="Y58" i="10" l="1"/>
  <c r="X59" i="10"/>
  <c r="T65" i="12"/>
  <c r="U65" i="12" s="1"/>
  <c r="V65" i="12" s="1"/>
  <c r="S66" i="12"/>
  <c r="T57" i="11"/>
  <c r="U57" i="11" s="1"/>
  <c r="V57" i="11" s="1"/>
  <c r="S58" i="11"/>
  <c r="U55" i="8"/>
  <c r="V55" i="8" s="1"/>
  <c r="W55" i="8"/>
  <c r="W58" i="1"/>
  <c r="X58" i="1" s="1"/>
  <c r="Y58" i="1" s="1"/>
  <c r="S59" i="1"/>
  <c r="T58" i="1"/>
  <c r="U58" i="1"/>
  <c r="V58" i="1" s="1"/>
  <c r="T58" i="15"/>
  <c r="U58" i="15" s="1"/>
  <c r="V58" i="15" s="1"/>
  <c r="S59" i="15"/>
  <c r="T56" i="8"/>
  <c r="S57" i="8"/>
  <c r="T56" i="2"/>
  <c r="U56" i="2" s="1"/>
  <c r="V56" i="2" s="1"/>
  <c r="S57" i="2"/>
  <c r="T58" i="5"/>
  <c r="U58" i="5" s="1"/>
  <c r="V58" i="5" s="1"/>
  <c r="S59" i="5"/>
  <c r="T57" i="14"/>
  <c r="U57" i="14" s="1"/>
  <c r="V57" i="14" s="1"/>
  <c r="S58" i="14"/>
  <c r="T61" i="10"/>
  <c r="S62" i="10"/>
  <c r="Y53" i="8"/>
  <c r="X54" i="8"/>
  <c r="T57" i="13"/>
  <c r="U57" i="13" s="1"/>
  <c r="V57" i="13" s="1"/>
  <c r="S58" i="13"/>
  <c r="T56" i="4"/>
  <c r="U56" i="4" s="1"/>
  <c r="V56" i="4" s="1"/>
  <c r="S57" i="4"/>
  <c r="U60" i="10"/>
  <c r="V60" i="10" s="1"/>
  <c r="W60" i="10"/>
  <c r="Y59" i="10" l="1"/>
  <c r="X60" i="10"/>
  <c r="T58" i="13"/>
  <c r="U58" i="13" s="1"/>
  <c r="V58" i="13" s="1"/>
  <c r="S59" i="13"/>
  <c r="T62" i="10"/>
  <c r="S63" i="10"/>
  <c r="T59" i="5"/>
  <c r="U59" i="5" s="1"/>
  <c r="V59" i="5" s="1"/>
  <c r="S60" i="5"/>
  <c r="T57" i="8"/>
  <c r="S58" i="8"/>
  <c r="Y54" i="8"/>
  <c r="X55" i="8"/>
  <c r="T66" i="12"/>
  <c r="U66" i="12" s="1"/>
  <c r="V66" i="12" s="1"/>
  <c r="S67" i="12"/>
  <c r="U61" i="10"/>
  <c r="V61" i="10" s="1"/>
  <c r="W61" i="10"/>
  <c r="U56" i="8"/>
  <c r="V56" i="8" s="1"/>
  <c r="W56" i="8"/>
  <c r="T57" i="4"/>
  <c r="U57" i="4" s="1"/>
  <c r="V57" i="4" s="1"/>
  <c r="S58" i="4"/>
  <c r="T58" i="14"/>
  <c r="U58" i="14" s="1"/>
  <c r="V58" i="14" s="1"/>
  <c r="S59" i="14"/>
  <c r="T57" i="2"/>
  <c r="U57" i="2" s="1"/>
  <c r="V57" i="2" s="1"/>
  <c r="S58" i="2"/>
  <c r="T59" i="15"/>
  <c r="U59" i="15" s="1"/>
  <c r="V59" i="15" s="1"/>
  <c r="S60" i="15"/>
  <c r="W59" i="1"/>
  <c r="X59" i="1" s="1"/>
  <c r="Y59" i="1" s="1"/>
  <c r="U59" i="1"/>
  <c r="V59" i="1" s="1"/>
  <c r="S60" i="1"/>
  <c r="T59" i="1"/>
  <c r="T58" i="11"/>
  <c r="U58" i="11" s="1"/>
  <c r="V58" i="11" s="1"/>
  <c r="S59" i="11"/>
  <c r="T59" i="11" l="1"/>
  <c r="U59" i="11" s="1"/>
  <c r="V59" i="11" s="1"/>
  <c r="S60" i="11"/>
  <c r="T58" i="2"/>
  <c r="U58" i="2" s="1"/>
  <c r="V58" i="2" s="1"/>
  <c r="S59" i="2"/>
  <c r="T58" i="4"/>
  <c r="U58" i="4" s="1"/>
  <c r="V58" i="4" s="1"/>
  <c r="S59" i="4"/>
  <c r="T60" i="15"/>
  <c r="U60" i="15" s="1"/>
  <c r="V60" i="15" s="1"/>
  <c r="S61" i="15"/>
  <c r="T59" i="14"/>
  <c r="U59" i="14" s="1"/>
  <c r="V59" i="14" s="1"/>
  <c r="S60" i="14"/>
  <c r="Y55" i="8"/>
  <c r="X56" i="8"/>
  <c r="T67" i="12"/>
  <c r="U67" i="12" s="1"/>
  <c r="V67" i="12" s="1"/>
  <c r="S68" i="12"/>
  <c r="T58" i="8"/>
  <c r="S59" i="8"/>
  <c r="T63" i="10"/>
  <c r="S64" i="10"/>
  <c r="X61" i="10"/>
  <c r="Y60" i="10"/>
  <c r="T60" i="5"/>
  <c r="U60" i="5" s="1"/>
  <c r="V60" i="5" s="1"/>
  <c r="S61" i="5"/>
  <c r="T59" i="13"/>
  <c r="U59" i="13" s="1"/>
  <c r="V59" i="13" s="1"/>
  <c r="S60" i="13"/>
  <c r="W60" i="1"/>
  <c r="X60" i="1" s="1"/>
  <c r="Y60" i="1" s="1"/>
  <c r="S61" i="1"/>
  <c r="U60" i="1"/>
  <c r="T60" i="1"/>
  <c r="U57" i="8"/>
  <c r="V57" i="8" s="1"/>
  <c r="W57" i="8"/>
  <c r="U62" i="10"/>
  <c r="V62" i="10" s="1"/>
  <c r="W62" i="10"/>
  <c r="U58" i="8" l="1"/>
  <c r="V58" i="8" s="1"/>
  <c r="W58" i="8"/>
  <c r="X62" i="10"/>
  <c r="Y61" i="10"/>
  <c r="T60" i="13"/>
  <c r="U60" i="13" s="1"/>
  <c r="V60" i="13" s="1"/>
  <c r="S61" i="13"/>
  <c r="T59" i="8"/>
  <c r="S60" i="8"/>
  <c r="T61" i="15"/>
  <c r="U61" i="15" s="1"/>
  <c r="V61" i="15" s="1"/>
  <c r="S62" i="15"/>
  <c r="T59" i="2"/>
  <c r="U59" i="2" s="1"/>
  <c r="V59" i="2" s="1"/>
  <c r="S60" i="2"/>
  <c r="V60" i="1"/>
  <c r="Y56" i="8"/>
  <c r="X57" i="8"/>
  <c r="T61" i="1"/>
  <c r="U61" i="1"/>
  <c r="V61" i="1" s="1"/>
  <c r="W61" i="1"/>
  <c r="X61" i="1" s="1"/>
  <c r="Y61" i="1" s="1"/>
  <c r="S62" i="1"/>
  <c r="T61" i="5"/>
  <c r="U61" i="5" s="1"/>
  <c r="V61" i="5" s="1"/>
  <c r="S62" i="5"/>
  <c r="T64" i="10"/>
  <c r="S65" i="10"/>
  <c r="T68" i="12"/>
  <c r="U68" i="12" s="1"/>
  <c r="V68" i="12" s="1"/>
  <c r="S69" i="12"/>
  <c r="T60" i="14"/>
  <c r="U60" i="14" s="1"/>
  <c r="V60" i="14" s="1"/>
  <c r="S61" i="14"/>
  <c r="S60" i="4"/>
  <c r="T59" i="4"/>
  <c r="U59" i="4" s="1"/>
  <c r="V59" i="4" s="1"/>
  <c r="T60" i="11"/>
  <c r="U60" i="11" s="1"/>
  <c r="V60" i="11" s="1"/>
  <c r="S61" i="11"/>
  <c r="U63" i="10"/>
  <c r="V63" i="10" s="1"/>
  <c r="W63" i="10"/>
  <c r="T60" i="4" l="1"/>
  <c r="U60" i="4" s="1"/>
  <c r="V60" i="4" s="1"/>
  <c r="S61" i="4"/>
  <c r="T60" i="2"/>
  <c r="U60" i="2" s="1"/>
  <c r="V60" i="2" s="1"/>
  <c r="S61" i="2"/>
  <c r="T60" i="8"/>
  <c r="S61" i="8"/>
  <c r="T61" i="11"/>
  <c r="U61" i="11" s="1"/>
  <c r="V61" i="11" s="1"/>
  <c r="S62" i="11"/>
  <c r="T61" i="14"/>
  <c r="U61" i="14" s="1"/>
  <c r="V61" i="14" s="1"/>
  <c r="S62" i="14"/>
  <c r="T65" i="10"/>
  <c r="S66" i="10"/>
  <c r="S63" i="1"/>
  <c r="T62" i="1"/>
  <c r="U62" i="1"/>
  <c r="V62" i="1" s="1"/>
  <c r="W62" i="1"/>
  <c r="X62" i="1" s="1"/>
  <c r="Y62" i="1" s="1"/>
  <c r="U59" i="8"/>
  <c r="V59" i="8" s="1"/>
  <c r="W59" i="8"/>
  <c r="U64" i="10"/>
  <c r="V64" i="10" s="1"/>
  <c r="W64" i="10"/>
  <c r="T62" i="15"/>
  <c r="U62" i="15" s="1"/>
  <c r="V62" i="15" s="1"/>
  <c r="S63" i="15"/>
  <c r="T61" i="13"/>
  <c r="U61" i="13" s="1"/>
  <c r="V61" i="13" s="1"/>
  <c r="S62" i="13"/>
  <c r="Y57" i="8"/>
  <c r="X58" i="8"/>
  <c r="Y62" i="10"/>
  <c r="X63" i="10"/>
  <c r="T69" i="12"/>
  <c r="U69" i="12" s="1"/>
  <c r="V69" i="12" s="1"/>
  <c r="S70" i="12"/>
  <c r="T62" i="5"/>
  <c r="U62" i="5" s="1"/>
  <c r="V62" i="5" s="1"/>
  <c r="S63" i="5"/>
  <c r="Y63" i="10" l="1"/>
  <c r="X64" i="10"/>
  <c r="U65" i="10"/>
  <c r="V65" i="10" s="1"/>
  <c r="W65" i="10"/>
  <c r="T62" i="13"/>
  <c r="U62" i="13" s="1"/>
  <c r="V62" i="13" s="1"/>
  <c r="S63" i="13"/>
  <c r="T66" i="10"/>
  <c r="S67" i="10"/>
  <c r="T62" i="11"/>
  <c r="U62" i="11" s="1"/>
  <c r="V62" i="11" s="1"/>
  <c r="S63" i="11"/>
  <c r="T61" i="2"/>
  <c r="U61" i="2" s="1"/>
  <c r="V61" i="2" s="1"/>
  <c r="S62" i="2"/>
  <c r="T70" i="12"/>
  <c r="U70" i="12" s="1"/>
  <c r="V70" i="12" s="1"/>
  <c r="S71" i="12"/>
  <c r="T63" i="15"/>
  <c r="U63" i="15" s="1"/>
  <c r="V63" i="15" s="1"/>
  <c r="S64" i="15"/>
  <c r="Y58" i="8"/>
  <c r="X59" i="8"/>
  <c r="T62" i="14"/>
  <c r="U62" i="14" s="1"/>
  <c r="V62" i="14" s="1"/>
  <c r="S63" i="14"/>
  <c r="T61" i="8"/>
  <c r="S62" i="8"/>
  <c r="T61" i="4"/>
  <c r="U61" i="4" s="1"/>
  <c r="V61" i="4" s="1"/>
  <c r="S62" i="4"/>
  <c r="T63" i="5"/>
  <c r="U63" i="5" s="1"/>
  <c r="V63" i="5" s="1"/>
  <c r="S64" i="5"/>
  <c r="T63" i="1"/>
  <c r="U63" i="1"/>
  <c r="V63" i="1" s="1"/>
  <c r="W63" i="1"/>
  <c r="X63" i="1" s="1"/>
  <c r="Y63" i="1" s="1"/>
  <c r="S64" i="1"/>
  <c r="U60" i="8"/>
  <c r="V60" i="8" s="1"/>
  <c r="W60" i="8"/>
  <c r="Y59" i="8" l="1"/>
  <c r="X60" i="8"/>
  <c r="X65" i="10"/>
  <c r="Y64" i="10"/>
  <c r="U66" i="10"/>
  <c r="V66" i="10" s="1"/>
  <c r="W66" i="10"/>
  <c r="T62" i="4"/>
  <c r="U62" i="4" s="1"/>
  <c r="V62" i="4" s="1"/>
  <c r="S63" i="4"/>
  <c r="T63" i="14"/>
  <c r="U63" i="14" s="1"/>
  <c r="V63" i="14" s="1"/>
  <c r="S64" i="14"/>
  <c r="T64" i="15"/>
  <c r="U64" i="15" s="1"/>
  <c r="V64" i="15" s="1"/>
  <c r="S65" i="15"/>
  <c r="T62" i="2"/>
  <c r="U62" i="2" s="1"/>
  <c r="V62" i="2" s="1"/>
  <c r="S63" i="2"/>
  <c r="T67" i="10"/>
  <c r="S68" i="10"/>
  <c r="W64" i="1"/>
  <c r="X64" i="1" s="1"/>
  <c r="Y64" i="1" s="1"/>
  <c r="T64" i="1"/>
  <c r="U64" i="1"/>
  <c r="V64" i="1" s="1"/>
  <c r="S65" i="1"/>
  <c r="T64" i="5"/>
  <c r="U64" i="5" s="1"/>
  <c r="V64" i="5" s="1"/>
  <c r="S65" i="5"/>
  <c r="T62" i="8"/>
  <c r="S63" i="8"/>
  <c r="T71" i="12"/>
  <c r="U71" i="12" s="1"/>
  <c r="V71" i="12" s="1"/>
  <c r="S72" i="12"/>
  <c r="T63" i="11"/>
  <c r="U63" i="11" s="1"/>
  <c r="V63" i="11" s="1"/>
  <c r="S64" i="11"/>
  <c r="T63" i="13"/>
  <c r="U63" i="13" s="1"/>
  <c r="V63" i="13" s="1"/>
  <c r="S64" i="13"/>
  <c r="U61" i="8"/>
  <c r="V61" i="8" s="1"/>
  <c r="W61" i="8"/>
  <c r="Y60" i="8" l="1"/>
  <c r="X61" i="8"/>
  <c r="T63" i="8"/>
  <c r="S64" i="8"/>
  <c r="T68" i="10"/>
  <c r="S69" i="10"/>
  <c r="S64" i="4"/>
  <c r="T63" i="4"/>
  <c r="U63" i="4" s="1"/>
  <c r="V63" i="4" s="1"/>
  <c r="U62" i="8"/>
  <c r="V62" i="8" s="1"/>
  <c r="W62" i="8"/>
  <c r="U67" i="10"/>
  <c r="V67" i="10" s="1"/>
  <c r="W67" i="10"/>
  <c r="T64" i="11"/>
  <c r="U64" i="11" s="1"/>
  <c r="V64" i="11" s="1"/>
  <c r="S65" i="11"/>
  <c r="W65" i="1"/>
  <c r="X65" i="1" s="1"/>
  <c r="Y65" i="1" s="1"/>
  <c r="U65" i="1"/>
  <c r="V65" i="1" s="1"/>
  <c r="S66" i="1"/>
  <c r="T65" i="1"/>
  <c r="T65" i="15"/>
  <c r="U65" i="15" s="1"/>
  <c r="V65" i="15" s="1"/>
  <c r="S66" i="15"/>
  <c r="T64" i="13"/>
  <c r="U64" i="13" s="1"/>
  <c r="V64" i="13" s="1"/>
  <c r="S65" i="13"/>
  <c r="T72" i="12"/>
  <c r="U72" i="12" s="1"/>
  <c r="V72" i="12" s="1"/>
  <c r="S73" i="12"/>
  <c r="T65" i="5"/>
  <c r="U65" i="5" s="1"/>
  <c r="V65" i="5" s="1"/>
  <c r="S66" i="5"/>
  <c r="T63" i="2"/>
  <c r="U63" i="2" s="1"/>
  <c r="V63" i="2" s="1"/>
  <c r="S64" i="2"/>
  <c r="T64" i="14"/>
  <c r="U64" i="14" s="1"/>
  <c r="V64" i="14" s="1"/>
  <c r="S65" i="14"/>
  <c r="X66" i="10"/>
  <c r="Y65" i="10"/>
  <c r="T73" i="12" l="1"/>
  <c r="U73" i="12" s="1"/>
  <c r="V73" i="12" s="1"/>
  <c r="S74" i="12"/>
  <c r="T64" i="4"/>
  <c r="U64" i="4" s="1"/>
  <c r="V64" i="4" s="1"/>
  <c r="S65" i="4"/>
  <c r="U63" i="8"/>
  <c r="V63" i="8" s="1"/>
  <c r="W63" i="8"/>
  <c r="Y66" i="10"/>
  <c r="X67" i="10"/>
  <c r="T64" i="8"/>
  <c r="S65" i="8"/>
  <c r="T65" i="14"/>
  <c r="U65" i="14" s="1"/>
  <c r="V65" i="14" s="1"/>
  <c r="S66" i="14"/>
  <c r="T66" i="5"/>
  <c r="U66" i="5" s="1"/>
  <c r="V66" i="5" s="1"/>
  <c r="S67" i="5"/>
  <c r="T65" i="13"/>
  <c r="U65" i="13" s="1"/>
  <c r="V65" i="13" s="1"/>
  <c r="S66" i="13"/>
  <c r="T65" i="11"/>
  <c r="U65" i="11" s="1"/>
  <c r="V65" i="11" s="1"/>
  <c r="S66" i="11"/>
  <c r="Y61" i="8"/>
  <c r="X62" i="8"/>
  <c r="T69" i="10"/>
  <c r="S70" i="10"/>
  <c r="T64" i="2"/>
  <c r="U64" i="2" s="1"/>
  <c r="V64" i="2" s="1"/>
  <c r="S65" i="2"/>
  <c r="T66" i="15"/>
  <c r="U66" i="15" s="1"/>
  <c r="V66" i="15" s="1"/>
  <c r="S67" i="15"/>
  <c r="U66" i="1"/>
  <c r="S67" i="1"/>
  <c r="T66" i="1"/>
  <c r="W66" i="1"/>
  <c r="X66" i="1" s="1"/>
  <c r="Y66" i="1" s="1"/>
  <c r="U68" i="10"/>
  <c r="V68" i="10" s="1"/>
  <c r="W68" i="10"/>
  <c r="Y67" i="10" l="1"/>
  <c r="X68" i="10"/>
  <c r="T65" i="2"/>
  <c r="U65" i="2" s="1"/>
  <c r="V65" i="2" s="1"/>
  <c r="S66" i="2"/>
  <c r="T66" i="13"/>
  <c r="U66" i="13" s="1"/>
  <c r="V66" i="13" s="1"/>
  <c r="S67" i="13"/>
  <c r="T67" i="1"/>
  <c r="U67" i="1"/>
  <c r="V67" i="1" s="1"/>
  <c r="W67" i="1"/>
  <c r="X67" i="1" s="1"/>
  <c r="Y67" i="1" s="1"/>
  <c r="S68" i="1"/>
  <c r="T66" i="14"/>
  <c r="U66" i="14" s="1"/>
  <c r="V66" i="14" s="1"/>
  <c r="S67" i="14"/>
  <c r="T65" i="4"/>
  <c r="U65" i="4" s="1"/>
  <c r="V65" i="4" s="1"/>
  <c r="S66" i="4"/>
  <c r="V66" i="1"/>
  <c r="T67" i="15"/>
  <c r="U67" i="15" s="1"/>
  <c r="V67" i="15" s="1"/>
  <c r="S68" i="15"/>
  <c r="T70" i="10"/>
  <c r="S71" i="10"/>
  <c r="T66" i="11"/>
  <c r="U66" i="11" s="1"/>
  <c r="V66" i="11" s="1"/>
  <c r="S67" i="11"/>
  <c r="T67" i="5"/>
  <c r="U67" i="5" s="1"/>
  <c r="V67" i="5" s="1"/>
  <c r="S68" i="5"/>
  <c r="T65" i="8"/>
  <c r="S66" i="8"/>
  <c r="Y62" i="8"/>
  <c r="X63" i="8"/>
  <c r="T74" i="12"/>
  <c r="U74" i="12" s="1"/>
  <c r="V74" i="12" s="1"/>
  <c r="S75" i="12"/>
  <c r="U69" i="10"/>
  <c r="V69" i="10" s="1"/>
  <c r="W69" i="10"/>
  <c r="U64" i="8"/>
  <c r="V64" i="8" s="1"/>
  <c r="W64" i="8"/>
  <c r="U65" i="8" l="1"/>
  <c r="V65" i="8" s="1"/>
  <c r="W65" i="8"/>
  <c r="T67" i="14"/>
  <c r="U67" i="14" s="1"/>
  <c r="V67" i="14" s="1"/>
  <c r="S68" i="14"/>
  <c r="T66" i="2"/>
  <c r="U66" i="2" s="1"/>
  <c r="V66" i="2" s="1"/>
  <c r="S67" i="2"/>
  <c r="T68" i="5"/>
  <c r="U68" i="5" s="1"/>
  <c r="V68" i="5" s="1"/>
  <c r="S69" i="5"/>
  <c r="T71" i="10"/>
  <c r="S72" i="10"/>
  <c r="X69" i="10"/>
  <c r="Y68" i="10"/>
  <c r="U70" i="10"/>
  <c r="V70" i="10" s="1"/>
  <c r="W70" i="10"/>
  <c r="T66" i="4"/>
  <c r="U66" i="4" s="1"/>
  <c r="V66" i="4" s="1"/>
  <c r="S67" i="4"/>
  <c r="U68" i="1"/>
  <c r="V68" i="1" s="1"/>
  <c r="S69" i="1"/>
  <c r="T68" i="1"/>
  <c r="W68" i="1"/>
  <c r="X68" i="1" s="1"/>
  <c r="Y68" i="1" s="1"/>
  <c r="T67" i="13"/>
  <c r="U67" i="13" s="1"/>
  <c r="V67" i="13" s="1"/>
  <c r="S68" i="13"/>
  <c r="Y63" i="8"/>
  <c r="X64" i="8"/>
  <c r="T75" i="12"/>
  <c r="U75" i="12" s="1"/>
  <c r="V75" i="12" s="1"/>
  <c r="S76" i="12"/>
  <c r="T66" i="8"/>
  <c r="S67" i="8"/>
  <c r="T67" i="11"/>
  <c r="U67" i="11" s="1"/>
  <c r="V67" i="11" s="1"/>
  <c r="S68" i="11"/>
  <c r="T68" i="15"/>
  <c r="U68" i="15" s="1"/>
  <c r="V68" i="15" s="1"/>
  <c r="S69" i="15"/>
  <c r="T69" i="15" l="1"/>
  <c r="U69" i="15" s="1"/>
  <c r="V69" i="15" s="1"/>
  <c r="S70" i="15"/>
  <c r="T67" i="8"/>
  <c r="S68" i="8"/>
  <c r="T67" i="4"/>
  <c r="U67" i="4" s="1"/>
  <c r="V67" i="4" s="1"/>
  <c r="S68" i="4"/>
  <c r="U66" i="8"/>
  <c r="V66" i="8" s="1"/>
  <c r="W66" i="8"/>
  <c r="T69" i="5"/>
  <c r="U69" i="5" s="1"/>
  <c r="V69" i="5" s="1"/>
  <c r="S70" i="5"/>
  <c r="T68" i="14"/>
  <c r="U68" i="14" s="1"/>
  <c r="V68" i="14" s="1"/>
  <c r="S69" i="14"/>
  <c r="T68" i="11"/>
  <c r="U68" i="11" s="1"/>
  <c r="V68" i="11" s="1"/>
  <c r="S69" i="11"/>
  <c r="T76" i="12"/>
  <c r="U76" i="12" s="1"/>
  <c r="V76" i="12" s="1"/>
  <c r="S77" i="12"/>
  <c r="T68" i="13"/>
  <c r="U68" i="13" s="1"/>
  <c r="V68" i="13" s="1"/>
  <c r="S69" i="13"/>
  <c r="T69" i="1"/>
  <c r="S70" i="1"/>
  <c r="W69" i="1"/>
  <c r="X69" i="1" s="1"/>
  <c r="Y69" i="1" s="1"/>
  <c r="U69" i="1"/>
  <c r="X70" i="10"/>
  <c r="Y69" i="10"/>
  <c r="T72" i="10"/>
  <c r="S73" i="10"/>
  <c r="T67" i="2"/>
  <c r="U67" i="2" s="1"/>
  <c r="V67" i="2" s="1"/>
  <c r="S68" i="2"/>
  <c r="Y64" i="8"/>
  <c r="X65" i="8"/>
  <c r="U71" i="10"/>
  <c r="V71" i="10" s="1"/>
  <c r="W71" i="10"/>
  <c r="U72" i="10" l="1"/>
  <c r="V72" i="10" s="1"/>
  <c r="W72" i="10"/>
  <c r="Y65" i="8"/>
  <c r="X66" i="8"/>
  <c r="T68" i="8"/>
  <c r="S69" i="8"/>
  <c r="U67" i="8"/>
  <c r="V67" i="8" s="1"/>
  <c r="W67" i="8"/>
  <c r="Y70" i="10"/>
  <c r="X71" i="10"/>
  <c r="T68" i="2"/>
  <c r="U68" i="2" s="1"/>
  <c r="V68" i="2" s="1"/>
  <c r="S69" i="2"/>
  <c r="S71" i="1"/>
  <c r="T70" i="1"/>
  <c r="U70" i="1"/>
  <c r="V70" i="1" s="1"/>
  <c r="W70" i="1"/>
  <c r="X70" i="1" s="1"/>
  <c r="Y70" i="1" s="1"/>
  <c r="T77" i="12"/>
  <c r="U77" i="12" s="1"/>
  <c r="V77" i="12" s="1"/>
  <c r="S78" i="12"/>
  <c r="T69" i="14"/>
  <c r="U69" i="14" s="1"/>
  <c r="V69" i="14" s="1"/>
  <c r="S70" i="14"/>
  <c r="T73" i="10"/>
  <c r="S74" i="10"/>
  <c r="V69" i="1"/>
  <c r="T69" i="13"/>
  <c r="U69" i="13" s="1"/>
  <c r="V69" i="13" s="1"/>
  <c r="S70" i="13"/>
  <c r="T69" i="11"/>
  <c r="U69" i="11" s="1"/>
  <c r="V69" i="11" s="1"/>
  <c r="S70" i="11"/>
  <c r="T70" i="5"/>
  <c r="U70" i="5" s="1"/>
  <c r="V70" i="5" s="1"/>
  <c r="S71" i="5"/>
  <c r="T68" i="4"/>
  <c r="U68" i="4" s="1"/>
  <c r="V68" i="4" s="1"/>
  <c r="S69" i="4"/>
  <c r="T70" i="15"/>
  <c r="U70" i="15" s="1"/>
  <c r="V70" i="15" s="1"/>
  <c r="S71" i="15"/>
  <c r="Y66" i="8" l="1"/>
  <c r="X67" i="8"/>
  <c r="T69" i="4"/>
  <c r="U69" i="4" s="1"/>
  <c r="V69" i="4" s="1"/>
  <c r="S70" i="4"/>
  <c r="T70" i="11"/>
  <c r="U70" i="11" s="1"/>
  <c r="V70" i="11" s="1"/>
  <c r="S71" i="11"/>
  <c r="T69" i="2"/>
  <c r="U69" i="2" s="1"/>
  <c r="V69" i="2" s="1"/>
  <c r="S70" i="2"/>
  <c r="T74" i="10"/>
  <c r="S75" i="10"/>
  <c r="T78" i="12"/>
  <c r="U78" i="12" s="1"/>
  <c r="V78" i="12" s="1"/>
  <c r="S79" i="12"/>
  <c r="T69" i="8"/>
  <c r="S70" i="8"/>
  <c r="Y71" i="10"/>
  <c r="X72" i="10"/>
  <c r="T70" i="14"/>
  <c r="U70" i="14" s="1"/>
  <c r="V70" i="14" s="1"/>
  <c r="S71" i="14"/>
  <c r="T71" i="15"/>
  <c r="U71" i="15" s="1"/>
  <c r="V71" i="15" s="1"/>
  <c r="S72" i="15"/>
  <c r="T71" i="5"/>
  <c r="U71" i="5" s="1"/>
  <c r="V71" i="5" s="1"/>
  <c r="S72" i="5"/>
  <c r="T70" i="13"/>
  <c r="U70" i="13" s="1"/>
  <c r="V70" i="13" s="1"/>
  <c r="S71" i="13"/>
  <c r="U73" i="10"/>
  <c r="V73" i="10" s="1"/>
  <c r="W73" i="10"/>
  <c r="U71" i="1"/>
  <c r="V71" i="1" s="1"/>
  <c r="S72" i="1"/>
  <c r="T71" i="1"/>
  <c r="W71" i="1"/>
  <c r="X71" i="1" s="1"/>
  <c r="Y71" i="1" s="1"/>
  <c r="U68" i="8"/>
  <c r="V68" i="8" s="1"/>
  <c r="W68" i="8"/>
  <c r="T71" i="13" l="1"/>
  <c r="U71" i="13" s="1"/>
  <c r="V71" i="13" s="1"/>
  <c r="S72" i="13"/>
  <c r="T70" i="2"/>
  <c r="U70" i="2" s="1"/>
  <c r="V70" i="2" s="1"/>
  <c r="S71" i="2"/>
  <c r="T72" i="1"/>
  <c r="S73" i="1"/>
  <c r="W72" i="1"/>
  <c r="X72" i="1" s="1"/>
  <c r="Y72" i="1" s="1"/>
  <c r="U72" i="1"/>
  <c r="V72" i="1" s="1"/>
  <c r="X73" i="10"/>
  <c r="Y72" i="10"/>
  <c r="T72" i="5"/>
  <c r="U72" i="5" s="1"/>
  <c r="V72" i="5" s="1"/>
  <c r="S73" i="5"/>
  <c r="T71" i="14"/>
  <c r="U71" i="14" s="1"/>
  <c r="V71" i="14" s="1"/>
  <c r="S72" i="14"/>
  <c r="T70" i="8"/>
  <c r="S71" i="8"/>
  <c r="T75" i="10"/>
  <c r="S76" i="10"/>
  <c r="T71" i="11"/>
  <c r="U71" i="11" s="1"/>
  <c r="V71" i="11" s="1"/>
  <c r="S72" i="11"/>
  <c r="Y67" i="8"/>
  <c r="X68" i="8"/>
  <c r="T72" i="15"/>
  <c r="U72" i="15" s="1"/>
  <c r="V72" i="15" s="1"/>
  <c r="S73" i="15"/>
  <c r="T79" i="12"/>
  <c r="U79" i="12" s="1"/>
  <c r="V79" i="12" s="1"/>
  <c r="S80" i="12"/>
  <c r="T70" i="4"/>
  <c r="U70" i="4" s="1"/>
  <c r="V70" i="4" s="1"/>
  <c r="S71" i="4"/>
  <c r="U69" i="8"/>
  <c r="V69" i="8" s="1"/>
  <c r="W69" i="8"/>
  <c r="U74" i="10"/>
  <c r="V74" i="10" s="1"/>
  <c r="W74" i="10"/>
  <c r="X74" i="10" l="1"/>
  <c r="Y73" i="10"/>
  <c r="T71" i="4"/>
  <c r="U71" i="4" s="1"/>
  <c r="V71" i="4" s="1"/>
  <c r="S72" i="4"/>
  <c r="T72" i="11"/>
  <c r="U72" i="11" s="1"/>
  <c r="V72" i="11" s="1"/>
  <c r="S73" i="11"/>
  <c r="T73" i="5"/>
  <c r="U73" i="5" s="1"/>
  <c r="V73" i="5" s="1"/>
  <c r="S74" i="5"/>
  <c r="U70" i="8"/>
  <c r="V70" i="8" s="1"/>
  <c r="W70" i="8"/>
  <c r="Y68" i="8"/>
  <c r="X69" i="8"/>
  <c r="T80" i="12"/>
  <c r="U80" i="12" s="1"/>
  <c r="V80" i="12" s="1"/>
  <c r="S81" i="12"/>
  <c r="T76" i="10"/>
  <c r="S77" i="10"/>
  <c r="T72" i="14"/>
  <c r="U72" i="14" s="1"/>
  <c r="V72" i="14" s="1"/>
  <c r="S73" i="14"/>
  <c r="W73" i="1"/>
  <c r="X73" i="1" s="1"/>
  <c r="Y73" i="1" s="1"/>
  <c r="S74" i="1"/>
  <c r="T73" i="1"/>
  <c r="U73" i="1"/>
  <c r="T72" i="13"/>
  <c r="U72" i="13" s="1"/>
  <c r="V72" i="13" s="1"/>
  <c r="S73" i="13"/>
  <c r="T73" i="15"/>
  <c r="U73" i="15" s="1"/>
  <c r="V73" i="15" s="1"/>
  <c r="S74" i="15"/>
  <c r="T71" i="8"/>
  <c r="S72" i="8"/>
  <c r="T71" i="2"/>
  <c r="U71" i="2" s="1"/>
  <c r="V71" i="2" s="1"/>
  <c r="S72" i="2"/>
  <c r="U75" i="10"/>
  <c r="V75" i="10" s="1"/>
  <c r="W75" i="10"/>
  <c r="Y74" i="10" l="1"/>
  <c r="X75" i="10"/>
  <c r="T73" i="13"/>
  <c r="U73" i="13" s="1"/>
  <c r="V73" i="13" s="1"/>
  <c r="S74" i="13"/>
  <c r="T77" i="10"/>
  <c r="S78" i="10"/>
  <c r="T74" i="5"/>
  <c r="U74" i="5" s="1"/>
  <c r="V74" i="5" s="1"/>
  <c r="S75" i="5"/>
  <c r="T72" i="4"/>
  <c r="U72" i="4" s="1"/>
  <c r="V72" i="4" s="1"/>
  <c r="S73" i="4"/>
  <c r="U76" i="10"/>
  <c r="V76" i="10" s="1"/>
  <c r="W76" i="10"/>
  <c r="T72" i="8"/>
  <c r="S73" i="8"/>
  <c r="T74" i="1"/>
  <c r="W74" i="1"/>
  <c r="X74" i="1" s="1"/>
  <c r="Y74" i="1" s="1"/>
  <c r="U74" i="1"/>
  <c r="S75" i="1"/>
  <c r="U71" i="8"/>
  <c r="V71" i="8" s="1"/>
  <c r="W71" i="8"/>
  <c r="T72" i="2"/>
  <c r="U72" i="2" s="1"/>
  <c r="V72" i="2" s="1"/>
  <c r="S73" i="2"/>
  <c r="T74" i="15"/>
  <c r="U74" i="15" s="1"/>
  <c r="V74" i="15" s="1"/>
  <c r="S75" i="15"/>
  <c r="V73" i="1"/>
  <c r="T73" i="14"/>
  <c r="U73" i="14" s="1"/>
  <c r="V73" i="14" s="1"/>
  <c r="S74" i="14"/>
  <c r="T81" i="12"/>
  <c r="U81" i="12" s="1"/>
  <c r="V81" i="12" s="1"/>
  <c r="S82" i="12"/>
  <c r="Y69" i="8"/>
  <c r="X70" i="8"/>
  <c r="T73" i="11"/>
  <c r="U73" i="11" s="1"/>
  <c r="V73" i="11" s="1"/>
  <c r="S74" i="11"/>
  <c r="Y70" i="8" l="1"/>
  <c r="X71" i="8"/>
  <c r="T73" i="2"/>
  <c r="U73" i="2" s="1"/>
  <c r="V73" i="2" s="1"/>
  <c r="S74" i="2"/>
  <c r="U75" i="1"/>
  <c r="S76" i="1"/>
  <c r="T75" i="1"/>
  <c r="W75" i="1"/>
  <c r="X75" i="1" s="1"/>
  <c r="Y75" i="1" s="1"/>
  <c r="T73" i="8"/>
  <c r="S74" i="8"/>
  <c r="T73" i="4"/>
  <c r="U73" i="4" s="1"/>
  <c r="V73" i="4" s="1"/>
  <c r="S74" i="4"/>
  <c r="T78" i="10"/>
  <c r="S79" i="10"/>
  <c r="T75" i="15"/>
  <c r="U75" i="15" s="1"/>
  <c r="V75" i="15" s="1"/>
  <c r="S76" i="15"/>
  <c r="Y75" i="10"/>
  <c r="X76" i="10"/>
  <c r="T75" i="5"/>
  <c r="U75" i="5" s="1"/>
  <c r="V75" i="5" s="1"/>
  <c r="S76" i="5"/>
  <c r="T74" i="13"/>
  <c r="U74" i="13" s="1"/>
  <c r="V74" i="13" s="1"/>
  <c r="S75" i="13"/>
  <c r="T74" i="14"/>
  <c r="U74" i="14" s="1"/>
  <c r="V74" i="14" s="1"/>
  <c r="S75" i="14"/>
  <c r="T74" i="11"/>
  <c r="U74" i="11" s="1"/>
  <c r="V74" i="11" s="1"/>
  <c r="S75" i="11"/>
  <c r="T82" i="12"/>
  <c r="U82" i="12" s="1"/>
  <c r="V82" i="12" s="1"/>
  <c r="S83" i="12"/>
  <c r="V74" i="1"/>
  <c r="U72" i="8"/>
  <c r="V72" i="8" s="1"/>
  <c r="W72" i="8"/>
  <c r="U77" i="10"/>
  <c r="V77" i="10" s="1"/>
  <c r="W77" i="10"/>
  <c r="T75" i="14" l="1"/>
  <c r="U75" i="14" s="1"/>
  <c r="V75" i="14" s="1"/>
  <c r="S76" i="14"/>
  <c r="T76" i="15"/>
  <c r="U76" i="15" s="1"/>
  <c r="V76" i="15" s="1"/>
  <c r="S77" i="15"/>
  <c r="Y71" i="8"/>
  <c r="X72" i="8"/>
  <c r="T75" i="11"/>
  <c r="U75" i="11" s="1"/>
  <c r="V75" i="11" s="1"/>
  <c r="S76" i="11"/>
  <c r="T75" i="13"/>
  <c r="U75" i="13" s="1"/>
  <c r="V75" i="13" s="1"/>
  <c r="S76" i="13"/>
  <c r="T79" i="10"/>
  <c r="S80" i="10"/>
  <c r="T74" i="8"/>
  <c r="S75" i="8"/>
  <c r="W76" i="1"/>
  <c r="X76" i="1" s="1"/>
  <c r="Y76" i="1" s="1"/>
  <c r="S77" i="1"/>
  <c r="T76" i="1"/>
  <c r="U76" i="1"/>
  <c r="T83" i="12"/>
  <c r="U83" i="12" s="1"/>
  <c r="V83" i="12" s="1"/>
  <c r="S84" i="12"/>
  <c r="T76" i="5"/>
  <c r="U76" i="5" s="1"/>
  <c r="V76" i="5" s="1"/>
  <c r="S77" i="5"/>
  <c r="T74" i="4"/>
  <c r="U74" i="4" s="1"/>
  <c r="V74" i="4" s="1"/>
  <c r="S75" i="4"/>
  <c r="T74" i="2"/>
  <c r="U74" i="2" s="1"/>
  <c r="V74" i="2" s="1"/>
  <c r="S75" i="2"/>
  <c r="X77" i="10"/>
  <c r="Y76" i="10"/>
  <c r="U78" i="10"/>
  <c r="V78" i="10" s="1"/>
  <c r="W78" i="10"/>
  <c r="U73" i="8"/>
  <c r="V73" i="8" s="1"/>
  <c r="W73" i="8"/>
  <c r="V75" i="1"/>
  <c r="T84" i="12" l="1"/>
  <c r="U84" i="12" s="1"/>
  <c r="V84" i="12" s="1"/>
  <c r="S85" i="12"/>
  <c r="W77" i="1"/>
  <c r="X77" i="1" s="1"/>
  <c r="Y77" i="1" s="1"/>
  <c r="U77" i="1"/>
  <c r="V77" i="1" s="1"/>
  <c r="T77" i="1"/>
  <c r="S78" i="1"/>
  <c r="T76" i="11"/>
  <c r="U76" i="11" s="1"/>
  <c r="V76" i="11" s="1"/>
  <c r="S77" i="11"/>
  <c r="T77" i="15"/>
  <c r="U77" i="15" s="1"/>
  <c r="V77" i="15" s="1"/>
  <c r="S78" i="15"/>
  <c r="U79" i="10"/>
  <c r="V79" i="10" s="1"/>
  <c r="W79" i="10"/>
  <c r="X78" i="10"/>
  <c r="Y77" i="10"/>
  <c r="T75" i="2"/>
  <c r="U75" i="2" s="1"/>
  <c r="V75" i="2" s="1"/>
  <c r="S76" i="2"/>
  <c r="T77" i="5"/>
  <c r="U77" i="5" s="1"/>
  <c r="V77" i="5" s="1"/>
  <c r="S78" i="5"/>
  <c r="V76" i="1"/>
  <c r="T75" i="8"/>
  <c r="S76" i="8"/>
  <c r="T76" i="13"/>
  <c r="U76" i="13" s="1"/>
  <c r="V76" i="13" s="1"/>
  <c r="S77" i="13"/>
  <c r="T76" i="14"/>
  <c r="U76" i="14" s="1"/>
  <c r="V76" i="14" s="1"/>
  <c r="S77" i="14"/>
  <c r="Y72" i="8"/>
  <c r="X73" i="8"/>
  <c r="T75" i="4"/>
  <c r="U75" i="4" s="1"/>
  <c r="V75" i="4" s="1"/>
  <c r="S76" i="4"/>
  <c r="T80" i="10"/>
  <c r="S81" i="10"/>
  <c r="U74" i="8"/>
  <c r="V74" i="8" s="1"/>
  <c r="W74" i="8"/>
  <c r="Y78" i="10" l="1"/>
  <c r="X79" i="10"/>
  <c r="T77" i="11"/>
  <c r="U77" i="11" s="1"/>
  <c r="V77" i="11" s="1"/>
  <c r="S78" i="11"/>
  <c r="U75" i="8"/>
  <c r="V75" i="8" s="1"/>
  <c r="W75" i="8"/>
  <c r="T76" i="2"/>
  <c r="U76" i="2" s="1"/>
  <c r="V76" i="2" s="1"/>
  <c r="S77" i="2"/>
  <c r="T81" i="10"/>
  <c r="S82" i="10"/>
  <c r="T77" i="13"/>
  <c r="U77" i="13" s="1"/>
  <c r="V77" i="13" s="1"/>
  <c r="S78" i="13"/>
  <c r="U80" i="10"/>
  <c r="V80" i="10" s="1"/>
  <c r="W80" i="10"/>
  <c r="T78" i="5"/>
  <c r="U78" i="5" s="1"/>
  <c r="V78" i="5" s="1"/>
  <c r="S79" i="5"/>
  <c r="T78" i="15"/>
  <c r="U78" i="15" s="1"/>
  <c r="V78" i="15" s="1"/>
  <c r="S79" i="15"/>
  <c r="U78" i="1"/>
  <c r="V78" i="1" s="1"/>
  <c r="S79" i="1"/>
  <c r="T78" i="1"/>
  <c r="W78" i="1"/>
  <c r="X78" i="1" s="1"/>
  <c r="Y78" i="1" s="1"/>
  <c r="T85" i="12"/>
  <c r="U85" i="12" s="1"/>
  <c r="V85" i="12" s="1"/>
  <c r="S86" i="12"/>
  <c r="Y73" i="8"/>
  <c r="X74" i="8"/>
  <c r="T76" i="4"/>
  <c r="U76" i="4" s="1"/>
  <c r="V76" i="4" s="1"/>
  <c r="S77" i="4"/>
  <c r="T77" i="14"/>
  <c r="U77" i="14" s="1"/>
  <c r="V77" i="14" s="1"/>
  <c r="S78" i="14"/>
  <c r="T76" i="8"/>
  <c r="S77" i="8"/>
  <c r="T77" i="8" l="1"/>
  <c r="S78" i="8"/>
  <c r="T86" i="12"/>
  <c r="U86" i="12" s="1"/>
  <c r="V86" i="12" s="1"/>
  <c r="S87" i="12"/>
  <c r="T79" i="1"/>
  <c r="U79" i="1"/>
  <c r="S80" i="1"/>
  <c r="W79" i="1"/>
  <c r="X79" i="1" s="1"/>
  <c r="Y79" i="1" s="1"/>
  <c r="T78" i="13"/>
  <c r="U78" i="13" s="1"/>
  <c r="V78" i="13" s="1"/>
  <c r="S79" i="13"/>
  <c r="T78" i="11"/>
  <c r="U78" i="11" s="1"/>
  <c r="V78" i="11" s="1"/>
  <c r="S79" i="11"/>
  <c r="T77" i="4"/>
  <c r="U77" i="4" s="1"/>
  <c r="V77" i="4" s="1"/>
  <c r="S78" i="4"/>
  <c r="T79" i="5"/>
  <c r="U79" i="5" s="1"/>
  <c r="V79" i="5" s="1"/>
  <c r="S80" i="5"/>
  <c r="T77" i="2"/>
  <c r="U77" i="2" s="1"/>
  <c r="V77" i="2" s="1"/>
  <c r="S78" i="2"/>
  <c r="U76" i="8"/>
  <c r="V76" i="8" s="1"/>
  <c r="W76" i="8"/>
  <c r="T79" i="15"/>
  <c r="U79" i="15" s="1"/>
  <c r="V79" i="15" s="1"/>
  <c r="S80" i="15"/>
  <c r="Y79" i="10"/>
  <c r="X80" i="10"/>
  <c r="T82" i="10"/>
  <c r="S83" i="10"/>
  <c r="Y74" i="8"/>
  <c r="X75" i="8"/>
  <c r="T78" i="14"/>
  <c r="U78" i="14" s="1"/>
  <c r="V78" i="14" s="1"/>
  <c r="S79" i="14"/>
  <c r="U81" i="10"/>
  <c r="V81" i="10" s="1"/>
  <c r="W81" i="10"/>
  <c r="X81" i="10" l="1"/>
  <c r="Y80" i="10"/>
  <c r="T87" i="12"/>
  <c r="U87" i="12" s="1"/>
  <c r="V87" i="12" s="1"/>
  <c r="S88" i="12"/>
  <c r="T80" i="1"/>
  <c r="W80" i="1"/>
  <c r="X80" i="1" s="1"/>
  <c r="Y80" i="1" s="1"/>
  <c r="U80" i="1"/>
  <c r="V80" i="1" s="1"/>
  <c r="S81" i="1"/>
  <c r="Y75" i="8"/>
  <c r="X76" i="8"/>
  <c r="T80" i="5"/>
  <c r="U80" i="5" s="1"/>
  <c r="V80" i="5" s="1"/>
  <c r="S81" i="5"/>
  <c r="T79" i="11"/>
  <c r="U79" i="11" s="1"/>
  <c r="V79" i="11" s="1"/>
  <c r="S80" i="11"/>
  <c r="T79" i="14"/>
  <c r="U79" i="14" s="1"/>
  <c r="V79" i="14" s="1"/>
  <c r="S80" i="14"/>
  <c r="T83" i="10"/>
  <c r="S84" i="10"/>
  <c r="T80" i="15"/>
  <c r="U80" i="15" s="1"/>
  <c r="V80" i="15" s="1"/>
  <c r="S81" i="15"/>
  <c r="T78" i="2"/>
  <c r="U78" i="2" s="1"/>
  <c r="V78" i="2" s="1"/>
  <c r="S79" i="2"/>
  <c r="T78" i="4"/>
  <c r="U78" i="4" s="1"/>
  <c r="V78" i="4" s="1"/>
  <c r="S79" i="4"/>
  <c r="T79" i="13"/>
  <c r="U79" i="13" s="1"/>
  <c r="V79" i="13" s="1"/>
  <c r="S80" i="13"/>
  <c r="V79" i="1"/>
  <c r="T78" i="8"/>
  <c r="S79" i="8"/>
  <c r="U82" i="10"/>
  <c r="V82" i="10" s="1"/>
  <c r="W82" i="10"/>
  <c r="U77" i="8"/>
  <c r="V77" i="8" s="1"/>
  <c r="W77" i="8"/>
  <c r="U78" i="8" l="1"/>
  <c r="V78" i="8" s="1"/>
  <c r="W78" i="8"/>
  <c r="T79" i="4"/>
  <c r="U79" i="4" s="1"/>
  <c r="V79" i="4" s="1"/>
  <c r="S80" i="4"/>
  <c r="T81" i="15"/>
  <c r="U81" i="15" s="1"/>
  <c r="V81" i="15" s="1"/>
  <c r="S82" i="15"/>
  <c r="T80" i="14"/>
  <c r="U80" i="14" s="1"/>
  <c r="V80" i="14" s="1"/>
  <c r="S81" i="14"/>
  <c r="T81" i="5"/>
  <c r="U81" i="5" s="1"/>
  <c r="V81" i="5" s="1"/>
  <c r="S82" i="5"/>
  <c r="W81" i="1"/>
  <c r="X81" i="1" s="1"/>
  <c r="Y81" i="1" s="1"/>
  <c r="U81" i="1"/>
  <c r="S82" i="1"/>
  <c r="T81" i="1"/>
  <c r="T88" i="12"/>
  <c r="U88" i="12" s="1"/>
  <c r="V88" i="12" s="1"/>
  <c r="S89" i="12"/>
  <c r="X82" i="10"/>
  <c r="Y81" i="10"/>
  <c r="T80" i="13"/>
  <c r="U80" i="13" s="1"/>
  <c r="V80" i="13" s="1"/>
  <c r="S81" i="13"/>
  <c r="T79" i="2"/>
  <c r="U79" i="2" s="1"/>
  <c r="V79" i="2" s="1"/>
  <c r="S80" i="2"/>
  <c r="T84" i="10"/>
  <c r="S85" i="10"/>
  <c r="T80" i="11"/>
  <c r="U80" i="11" s="1"/>
  <c r="V80" i="11" s="1"/>
  <c r="S81" i="11"/>
  <c r="Y76" i="8"/>
  <c r="X77" i="8"/>
  <c r="T79" i="8"/>
  <c r="S80" i="8"/>
  <c r="U83" i="10"/>
  <c r="V83" i="10" s="1"/>
  <c r="W83" i="10"/>
  <c r="Y82" i="10" l="1"/>
  <c r="X83" i="10"/>
  <c r="T85" i="10"/>
  <c r="S86" i="10"/>
  <c r="T81" i="13"/>
  <c r="U81" i="13" s="1"/>
  <c r="V81" i="13" s="1"/>
  <c r="S82" i="13"/>
  <c r="T89" i="12"/>
  <c r="U89" i="12" s="1"/>
  <c r="V89" i="12" s="1"/>
  <c r="S90" i="12"/>
  <c r="V81" i="1"/>
  <c r="T81" i="14"/>
  <c r="U81" i="14" s="1"/>
  <c r="V81" i="14" s="1"/>
  <c r="S82" i="14"/>
  <c r="T80" i="4"/>
  <c r="U80" i="4" s="1"/>
  <c r="V80" i="4" s="1"/>
  <c r="S81" i="4"/>
  <c r="T80" i="8"/>
  <c r="S81" i="8"/>
  <c r="T81" i="11"/>
  <c r="U81" i="11" s="1"/>
  <c r="V81" i="11" s="1"/>
  <c r="S82" i="11"/>
  <c r="T80" i="2"/>
  <c r="U80" i="2" s="1"/>
  <c r="V80" i="2" s="1"/>
  <c r="S81" i="2"/>
  <c r="T82" i="5"/>
  <c r="U82" i="5" s="1"/>
  <c r="V82" i="5" s="1"/>
  <c r="S83" i="5"/>
  <c r="T82" i="15"/>
  <c r="U82" i="15" s="1"/>
  <c r="V82" i="15" s="1"/>
  <c r="S83" i="15"/>
  <c r="Y77" i="8"/>
  <c r="X78" i="8"/>
  <c r="U84" i="10"/>
  <c r="V84" i="10" s="1"/>
  <c r="W84" i="10"/>
  <c r="U79" i="8"/>
  <c r="V79" i="8" s="1"/>
  <c r="W79" i="8"/>
  <c r="T82" i="1"/>
  <c r="U82" i="1"/>
  <c r="W82" i="1"/>
  <c r="X82" i="1" s="1"/>
  <c r="Y82" i="1" s="1"/>
  <c r="S83" i="1"/>
  <c r="T90" i="12" l="1"/>
  <c r="U90" i="12" s="1"/>
  <c r="V90" i="12" s="1"/>
  <c r="S91" i="12"/>
  <c r="T86" i="10"/>
  <c r="S87" i="10"/>
  <c r="V82" i="1"/>
  <c r="Y83" i="10"/>
  <c r="X84" i="10"/>
  <c r="T83" i="15"/>
  <c r="U83" i="15" s="1"/>
  <c r="V83" i="15" s="1"/>
  <c r="S84" i="15"/>
  <c r="T81" i="2"/>
  <c r="U81" i="2" s="1"/>
  <c r="V81" i="2" s="1"/>
  <c r="S82" i="2"/>
  <c r="T81" i="8"/>
  <c r="S82" i="8"/>
  <c r="T82" i="14"/>
  <c r="U82" i="14" s="1"/>
  <c r="V82" i="14" s="1"/>
  <c r="S83" i="14"/>
  <c r="U85" i="10"/>
  <c r="V85" i="10" s="1"/>
  <c r="W85" i="10"/>
  <c r="U80" i="8"/>
  <c r="V80" i="8" s="1"/>
  <c r="W80" i="8"/>
  <c r="T82" i="13"/>
  <c r="U82" i="13" s="1"/>
  <c r="V82" i="13" s="1"/>
  <c r="S83" i="13"/>
  <c r="W83" i="1"/>
  <c r="X83" i="1" s="1"/>
  <c r="Y83" i="1" s="1"/>
  <c r="U83" i="1"/>
  <c r="T83" i="1"/>
  <c r="S84" i="1"/>
  <c r="Y78" i="8"/>
  <c r="X79" i="8"/>
  <c r="T83" i="5"/>
  <c r="U83" i="5" s="1"/>
  <c r="V83" i="5" s="1"/>
  <c r="S84" i="5"/>
  <c r="T82" i="11"/>
  <c r="U82" i="11" s="1"/>
  <c r="V82" i="11" s="1"/>
  <c r="S83" i="11"/>
  <c r="T81" i="4"/>
  <c r="U81" i="4" s="1"/>
  <c r="V81" i="4" s="1"/>
  <c r="S82" i="4"/>
  <c r="U81" i="8" l="1"/>
  <c r="V81" i="8" s="1"/>
  <c r="W81" i="8"/>
  <c r="T87" i="10"/>
  <c r="S88" i="10"/>
  <c r="T83" i="11"/>
  <c r="U83" i="11" s="1"/>
  <c r="V83" i="11" s="1"/>
  <c r="S84" i="11"/>
  <c r="V83" i="1"/>
  <c r="Y79" i="8"/>
  <c r="X80" i="8"/>
  <c r="T83" i="14"/>
  <c r="U83" i="14" s="1"/>
  <c r="V83" i="14" s="1"/>
  <c r="S84" i="14"/>
  <c r="T82" i="2"/>
  <c r="U82" i="2" s="1"/>
  <c r="V82" i="2" s="1"/>
  <c r="S83" i="2"/>
  <c r="U86" i="10"/>
  <c r="V86" i="10" s="1"/>
  <c r="W86" i="10"/>
  <c r="S92" i="12"/>
  <c r="T91" i="12"/>
  <c r="U91" i="12" s="1"/>
  <c r="V91" i="12" s="1"/>
  <c r="T82" i="4"/>
  <c r="U82" i="4" s="1"/>
  <c r="V82" i="4" s="1"/>
  <c r="S83" i="4"/>
  <c r="T84" i="5"/>
  <c r="U84" i="5" s="1"/>
  <c r="V84" i="5" s="1"/>
  <c r="S85" i="5"/>
  <c r="W84" i="1"/>
  <c r="X84" i="1" s="1"/>
  <c r="Y84" i="1" s="1"/>
  <c r="U84" i="1"/>
  <c r="V84" i="1" s="1"/>
  <c r="T84" i="1"/>
  <c r="S85" i="1"/>
  <c r="T83" i="13"/>
  <c r="U83" i="13" s="1"/>
  <c r="V83" i="13" s="1"/>
  <c r="S84" i="13"/>
  <c r="X85" i="10"/>
  <c r="Y84" i="10"/>
  <c r="T82" i="8"/>
  <c r="S83" i="8"/>
  <c r="T84" i="15"/>
  <c r="U84" i="15" s="1"/>
  <c r="V84" i="15" s="1"/>
  <c r="S85" i="15"/>
  <c r="U82" i="8" l="1"/>
  <c r="V82" i="8" s="1"/>
  <c r="W82" i="8"/>
  <c r="S93" i="12"/>
  <c r="T92" i="12"/>
  <c r="U92" i="12" s="1"/>
  <c r="V92" i="12" s="1"/>
  <c r="T88" i="10"/>
  <c r="S89" i="10"/>
  <c r="T83" i="8"/>
  <c r="S84" i="8"/>
  <c r="T84" i="13"/>
  <c r="U84" i="13" s="1"/>
  <c r="V84" i="13" s="1"/>
  <c r="S85" i="13"/>
  <c r="T83" i="4"/>
  <c r="U83" i="4" s="1"/>
  <c r="V83" i="4" s="1"/>
  <c r="S84" i="4"/>
  <c r="X86" i="10"/>
  <c r="Y85" i="10"/>
  <c r="T84" i="14"/>
  <c r="U84" i="14" s="1"/>
  <c r="V84" i="14" s="1"/>
  <c r="S85" i="14"/>
  <c r="U87" i="10"/>
  <c r="V87" i="10" s="1"/>
  <c r="W87" i="10"/>
  <c r="T84" i="11"/>
  <c r="U84" i="11" s="1"/>
  <c r="V84" i="11" s="1"/>
  <c r="S85" i="11"/>
  <c r="Y80" i="8"/>
  <c r="X81" i="8"/>
  <c r="T85" i="15"/>
  <c r="U85" i="15" s="1"/>
  <c r="V85" i="15" s="1"/>
  <c r="S86" i="15"/>
  <c r="T85" i="1"/>
  <c r="U85" i="1"/>
  <c r="V85" i="1" s="1"/>
  <c r="W85" i="1"/>
  <c r="X85" i="1" s="1"/>
  <c r="Y85" i="1" s="1"/>
  <c r="S86" i="1"/>
  <c r="T85" i="5"/>
  <c r="U85" i="5" s="1"/>
  <c r="V85" i="5" s="1"/>
  <c r="S86" i="5"/>
  <c r="T83" i="2"/>
  <c r="U83" i="2" s="1"/>
  <c r="V83" i="2" s="1"/>
  <c r="S84" i="2"/>
  <c r="T86" i="5" l="1"/>
  <c r="U86" i="5" s="1"/>
  <c r="V86" i="5" s="1"/>
  <c r="S87" i="5"/>
  <c r="T84" i="2"/>
  <c r="U84" i="2" s="1"/>
  <c r="V84" i="2" s="1"/>
  <c r="S85" i="2"/>
  <c r="W86" i="1"/>
  <c r="X86" i="1" s="1"/>
  <c r="Y86" i="1" s="1"/>
  <c r="U86" i="1"/>
  <c r="T86" i="1"/>
  <c r="S87" i="1"/>
  <c r="T86" i="15"/>
  <c r="U86" i="15" s="1"/>
  <c r="V86" i="15" s="1"/>
  <c r="S87" i="15"/>
  <c r="T85" i="11"/>
  <c r="U85" i="11" s="1"/>
  <c r="V85" i="11" s="1"/>
  <c r="S86" i="11"/>
  <c r="T85" i="14"/>
  <c r="U85" i="14" s="1"/>
  <c r="V85" i="14" s="1"/>
  <c r="S86" i="14"/>
  <c r="T84" i="4"/>
  <c r="U84" i="4" s="1"/>
  <c r="V84" i="4" s="1"/>
  <c r="S85" i="4"/>
  <c r="T84" i="8"/>
  <c r="S85" i="8"/>
  <c r="U83" i="8"/>
  <c r="V83" i="8" s="1"/>
  <c r="W83" i="8"/>
  <c r="S94" i="12"/>
  <c r="T93" i="12"/>
  <c r="U93" i="12" s="1"/>
  <c r="V93" i="12" s="1"/>
  <c r="Y86" i="10"/>
  <c r="X87" i="10"/>
  <c r="T85" i="13"/>
  <c r="U85" i="13" s="1"/>
  <c r="V85" i="13" s="1"/>
  <c r="S86" i="13"/>
  <c r="T89" i="10"/>
  <c r="S90" i="10"/>
  <c r="Y81" i="8"/>
  <c r="X82" i="8"/>
  <c r="U88" i="10"/>
  <c r="V88" i="10" s="1"/>
  <c r="W88" i="10"/>
  <c r="Y87" i="10" l="1"/>
  <c r="X88" i="10"/>
  <c r="T90" i="10"/>
  <c r="S91" i="10"/>
  <c r="Y82" i="8"/>
  <c r="X83" i="8"/>
  <c r="T85" i="4"/>
  <c r="U85" i="4" s="1"/>
  <c r="V85" i="4" s="1"/>
  <c r="S86" i="4"/>
  <c r="T86" i="11"/>
  <c r="U86" i="11" s="1"/>
  <c r="V86" i="11" s="1"/>
  <c r="S87" i="11"/>
  <c r="W87" i="1"/>
  <c r="X87" i="1" s="1"/>
  <c r="Y87" i="1" s="1"/>
  <c r="U87" i="1"/>
  <c r="T87" i="1"/>
  <c r="S88" i="1"/>
  <c r="T85" i="2"/>
  <c r="U85" i="2" s="1"/>
  <c r="V85" i="2" s="1"/>
  <c r="S86" i="2"/>
  <c r="S95" i="12"/>
  <c r="T94" i="12"/>
  <c r="U94" i="12" s="1"/>
  <c r="V94" i="12" s="1"/>
  <c r="U84" i="8"/>
  <c r="V84" i="8" s="1"/>
  <c r="W84" i="8"/>
  <c r="U89" i="10"/>
  <c r="V89" i="10" s="1"/>
  <c r="W89" i="10"/>
  <c r="T86" i="13"/>
  <c r="U86" i="13" s="1"/>
  <c r="V86" i="13" s="1"/>
  <c r="S87" i="13"/>
  <c r="T85" i="8"/>
  <c r="S86" i="8"/>
  <c r="T86" i="14"/>
  <c r="U86" i="14" s="1"/>
  <c r="V86" i="14" s="1"/>
  <c r="S87" i="14"/>
  <c r="T87" i="15"/>
  <c r="U87" i="15" s="1"/>
  <c r="V87" i="15" s="1"/>
  <c r="S88" i="15"/>
  <c r="V86" i="1"/>
  <c r="T87" i="5"/>
  <c r="U87" i="5" s="1"/>
  <c r="V87" i="5" s="1"/>
  <c r="S88" i="5"/>
  <c r="T87" i="14" l="1"/>
  <c r="U87" i="14" s="1"/>
  <c r="V87" i="14" s="1"/>
  <c r="S88" i="14"/>
  <c r="T87" i="13"/>
  <c r="U87" i="13" s="1"/>
  <c r="V87" i="13" s="1"/>
  <c r="S88" i="13"/>
  <c r="Y83" i="8"/>
  <c r="X84" i="8"/>
  <c r="T86" i="2"/>
  <c r="U86" i="2" s="1"/>
  <c r="V86" i="2" s="1"/>
  <c r="S87" i="2"/>
  <c r="V87" i="1"/>
  <c r="T86" i="4"/>
  <c r="U86" i="4" s="1"/>
  <c r="V86" i="4" s="1"/>
  <c r="S87" i="4"/>
  <c r="T91" i="10"/>
  <c r="S92" i="10"/>
  <c r="U90" i="10"/>
  <c r="V90" i="10" s="1"/>
  <c r="W90" i="10"/>
  <c r="T88" i="15"/>
  <c r="U88" i="15" s="1"/>
  <c r="V88" i="15" s="1"/>
  <c r="S89" i="15"/>
  <c r="T86" i="8"/>
  <c r="S87" i="8"/>
  <c r="X89" i="10"/>
  <c r="Y88" i="10"/>
  <c r="S89" i="1"/>
  <c r="T88" i="1"/>
  <c r="W88" i="1"/>
  <c r="X88" i="1" s="1"/>
  <c r="Y88" i="1" s="1"/>
  <c r="U88" i="1"/>
  <c r="T87" i="11"/>
  <c r="U87" i="11" s="1"/>
  <c r="V87" i="11" s="1"/>
  <c r="S88" i="11"/>
  <c r="T88" i="5"/>
  <c r="U88" i="5" s="1"/>
  <c r="V88" i="5" s="1"/>
  <c r="S89" i="5"/>
  <c r="U85" i="8"/>
  <c r="V85" i="8" s="1"/>
  <c r="W85" i="8"/>
  <c r="S96" i="12"/>
  <c r="T96" i="12" s="1"/>
  <c r="U96" i="12" s="1"/>
  <c r="V96" i="12" s="1"/>
  <c r="T95" i="12"/>
  <c r="U95" i="12" s="1"/>
  <c r="V95" i="12" s="1"/>
  <c r="U91" i="10" l="1"/>
  <c r="V91" i="10" s="1"/>
  <c r="W91" i="10"/>
  <c r="T87" i="2"/>
  <c r="U87" i="2" s="1"/>
  <c r="V87" i="2" s="1"/>
  <c r="S88" i="2"/>
  <c r="T88" i="13"/>
  <c r="U88" i="13" s="1"/>
  <c r="V88" i="13" s="1"/>
  <c r="S89" i="13"/>
  <c r="Y84" i="8"/>
  <c r="X85" i="8"/>
  <c r="X90" i="10"/>
  <c r="Y89" i="10"/>
  <c r="T87" i="4"/>
  <c r="U87" i="4" s="1"/>
  <c r="V87" i="4" s="1"/>
  <c r="S88" i="4"/>
  <c r="T87" i="8"/>
  <c r="S88" i="8"/>
  <c r="S90" i="1"/>
  <c r="U89" i="1"/>
  <c r="T89" i="1"/>
  <c r="W89" i="1"/>
  <c r="X89" i="1" s="1"/>
  <c r="Y89" i="1" s="1"/>
  <c r="U86" i="8"/>
  <c r="V86" i="8" s="1"/>
  <c r="W86" i="8"/>
  <c r="T88" i="14"/>
  <c r="U88" i="14" s="1"/>
  <c r="V88" i="14" s="1"/>
  <c r="S89" i="14"/>
  <c r="T88" i="11"/>
  <c r="U88" i="11" s="1"/>
  <c r="V88" i="11" s="1"/>
  <c r="S89" i="11"/>
  <c r="T89" i="5"/>
  <c r="U89" i="5" s="1"/>
  <c r="V89" i="5" s="1"/>
  <c r="S90" i="5"/>
  <c r="V88" i="1"/>
  <c r="T89" i="15"/>
  <c r="U89" i="15" s="1"/>
  <c r="V89" i="15" s="1"/>
  <c r="S90" i="15"/>
  <c r="T92" i="10"/>
  <c r="S93" i="10"/>
  <c r="U92" i="10" l="1"/>
  <c r="V92" i="10" s="1"/>
  <c r="W92" i="10"/>
  <c r="T90" i="15"/>
  <c r="U90" i="15" s="1"/>
  <c r="V90" i="15" s="1"/>
  <c r="S91" i="15"/>
  <c r="T89" i="11"/>
  <c r="U89" i="11" s="1"/>
  <c r="V89" i="11" s="1"/>
  <c r="S90" i="11"/>
  <c r="Y85" i="8"/>
  <c r="X86" i="8"/>
  <c r="V89" i="1"/>
  <c r="T88" i="4"/>
  <c r="U88" i="4" s="1"/>
  <c r="V88" i="4" s="1"/>
  <c r="S89" i="4"/>
  <c r="T88" i="2"/>
  <c r="U88" i="2" s="1"/>
  <c r="V88" i="2" s="1"/>
  <c r="S89" i="2"/>
  <c r="T90" i="1"/>
  <c r="U90" i="1"/>
  <c r="W90" i="1"/>
  <c r="X90" i="1" s="1"/>
  <c r="Y90" i="1" s="1"/>
  <c r="S91" i="1"/>
  <c r="T93" i="10"/>
  <c r="S94" i="10"/>
  <c r="T90" i="5"/>
  <c r="U90" i="5" s="1"/>
  <c r="V90" i="5" s="1"/>
  <c r="S91" i="5"/>
  <c r="T89" i="14"/>
  <c r="U89" i="14" s="1"/>
  <c r="V89" i="14" s="1"/>
  <c r="S90" i="14"/>
  <c r="T88" i="8"/>
  <c r="S89" i="8"/>
  <c r="T89" i="13"/>
  <c r="U89" i="13" s="1"/>
  <c r="V89" i="13" s="1"/>
  <c r="S90" i="13"/>
  <c r="Y90" i="10"/>
  <c r="X91" i="10"/>
  <c r="U87" i="8"/>
  <c r="V87" i="8" s="1"/>
  <c r="W87" i="8"/>
  <c r="U88" i="8" l="1"/>
  <c r="V88" i="8" s="1"/>
  <c r="W88" i="8"/>
  <c r="T91" i="15"/>
  <c r="U91" i="15" s="1"/>
  <c r="V91" i="15" s="1"/>
  <c r="S92" i="15"/>
  <c r="Y86" i="8"/>
  <c r="X87" i="8"/>
  <c r="T90" i="13"/>
  <c r="U90" i="13" s="1"/>
  <c r="V90" i="13" s="1"/>
  <c r="S91" i="13"/>
  <c r="T90" i="14"/>
  <c r="U90" i="14" s="1"/>
  <c r="V90" i="14" s="1"/>
  <c r="S91" i="14"/>
  <c r="T94" i="10"/>
  <c r="S95" i="10"/>
  <c r="V90" i="1"/>
  <c r="T89" i="4"/>
  <c r="U89" i="4" s="1"/>
  <c r="V89" i="4" s="1"/>
  <c r="S90" i="4"/>
  <c r="T90" i="11"/>
  <c r="U90" i="11" s="1"/>
  <c r="V90" i="11" s="1"/>
  <c r="S91" i="11"/>
  <c r="Y91" i="10"/>
  <c r="X92" i="10"/>
  <c r="U93" i="10"/>
  <c r="V93" i="10" s="1"/>
  <c r="W93" i="10"/>
  <c r="T89" i="8"/>
  <c r="S90" i="8"/>
  <c r="T91" i="5"/>
  <c r="U91" i="5" s="1"/>
  <c r="V91" i="5" s="1"/>
  <c r="S92" i="5"/>
  <c r="U91" i="1"/>
  <c r="V91" i="1" s="1"/>
  <c r="S92" i="1"/>
  <c r="T91" i="1"/>
  <c r="W91" i="1"/>
  <c r="X91" i="1" s="1"/>
  <c r="Y91" i="1" s="1"/>
  <c r="T89" i="2"/>
  <c r="U89" i="2" s="1"/>
  <c r="V89" i="2" s="1"/>
  <c r="S90" i="2"/>
  <c r="T92" i="5" l="1"/>
  <c r="U92" i="5" s="1"/>
  <c r="V92" i="5" s="1"/>
  <c r="S93" i="5"/>
  <c r="T95" i="10"/>
  <c r="S96" i="10"/>
  <c r="T91" i="13"/>
  <c r="U91" i="13" s="1"/>
  <c r="V91" i="13" s="1"/>
  <c r="S92" i="13"/>
  <c r="T92" i="15"/>
  <c r="U92" i="15" s="1"/>
  <c r="V92" i="15" s="1"/>
  <c r="S93" i="15"/>
  <c r="T90" i="2"/>
  <c r="U90" i="2" s="1"/>
  <c r="V90" i="2" s="1"/>
  <c r="S91" i="2"/>
  <c r="S93" i="1"/>
  <c r="U92" i="1"/>
  <c r="T92" i="1"/>
  <c r="W92" i="1"/>
  <c r="X92" i="1" s="1"/>
  <c r="Y92" i="1" s="1"/>
  <c r="T90" i="8"/>
  <c r="S91" i="8"/>
  <c r="T90" i="4"/>
  <c r="U90" i="4" s="1"/>
  <c r="V90" i="4" s="1"/>
  <c r="S91" i="4"/>
  <c r="U94" i="10"/>
  <c r="V94" i="10" s="1"/>
  <c r="W94" i="10"/>
  <c r="U89" i="8"/>
  <c r="V89" i="8" s="1"/>
  <c r="W89" i="8"/>
  <c r="T91" i="14"/>
  <c r="U91" i="14" s="1"/>
  <c r="V91" i="14" s="1"/>
  <c r="S92" i="14"/>
  <c r="Y87" i="8"/>
  <c r="X88" i="8"/>
  <c r="X93" i="10"/>
  <c r="Y92" i="10"/>
  <c r="T91" i="11"/>
  <c r="U91" i="11" s="1"/>
  <c r="V91" i="11" s="1"/>
  <c r="S92" i="11"/>
  <c r="T92" i="14" l="1"/>
  <c r="U92" i="14" s="1"/>
  <c r="V92" i="14" s="1"/>
  <c r="S93" i="14"/>
  <c r="X94" i="10"/>
  <c r="Y93" i="10"/>
  <c r="T91" i="8"/>
  <c r="S92" i="8"/>
  <c r="V92" i="1"/>
  <c r="T93" i="15"/>
  <c r="U93" i="15" s="1"/>
  <c r="V93" i="15" s="1"/>
  <c r="S94" i="15"/>
  <c r="T96" i="10"/>
  <c r="S97" i="10"/>
  <c r="T97" i="10" s="1"/>
  <c r="U90" i="8"/>
  <c r="V90" i="8" s="1"/>
  <c r="W90" i="8"/>
  <c r="U93" i="1"/>
  <c r="W93" i="1"/>
  <c r="X93" i="1" s="1"/>
  <c r="Y93" i="1" s="1"/>
  <c r="T93" i="1"/>
  <c r="S94" i="1"/>
  <c r="U95" i="10"/>
  <c r="V95" i="10" s="1"/>
  <c r="W95" i="10"/>
  <c r="T92" i="11"/>
  <c r="U92" i="11" s="1"/>
  <c r="V92" i="11" s="1"/>
  <c r="S93" i="11"/>
  <c r="Y88" i="8"/>
  <c r="X89" i="8"/>
  <c r="T91" i="4"/>
  <c r="U91" i="4" s="1"/>
  <c r="V91" i="4" s="1"/>
  <c r="S92" i="4"/>
  <c r="T91" i="2"/>
  <c r="U91" i="2" s="1"/>
  <c r="V91" i="2" s="1"/>
  <c r="S92" i="2"/>
  <c r="T92" i="13"/>
  <c r="U92" i="13" s="1"/>
  <c r="V92" i="13" s="1"/>
  <c r="S93" i="13"/>
  <c r="T93" i="5"/>
  <c r="U93" i="5" s="1"/>
  <c r="V93" i="5" s="1"/>
  <c r="S94" i="5"/>
  <c r="T94" i="5" l="1"/>
  <c r="U94" i="5" s="1"/>
  <c r="V94" i="5" s="1"/>
  <c r="S95" i="5"/>
  <c r="Y94" i="10"/>
  <c r="X95" i="10"/>
  <c r="U97" i="10"/>
  <c r="V97" i="10" s="1"/>
  <c r="W97" i="10"/>
  <c r="V93" i="1"/>
  <c r="U96" i="10"/>
  <c r="V96" i="10" s="1"/>
  <c r="W96" i="10"/>
  <c r="T92" i="8"/>
  <c r="S93" i="8"/>
  <c r="T93" i="14"/>
  <c r="U93" i="14" s="1"/>
  <c r="V93" i="14" s="1"/>
  <c r="S94" i="14"/>
  <c r="T92" i="2"/>
  <c r="U92" i="2" s="1"/>
  <c r="V92" i="2" s="1"/>
  <c r="S93" i="2"/>
  <c r="T93" i="13"/>
  <c r="U93" i="13" s="1"/>
  <c r="V93" i="13" s="1"/>
  <c r="S94" i="13"/>
  <c r="T92" i="4"/>
  <c r="U92" i="4" s="1"/>
  <c r="V92" i="4" s="1"/>
  <c r="S93" i="4"/>
  <c r="T93" i="11"/>
  <c r="U93" i="11" s="1"/>
  <c r="V93" i="11" s="1"/>
  <c r="S94" i="11"/>
  <c r="U94" i="1"/>
  <c r="V94" i="1" s="1"/>
  <c r="S95" i="1"/>
  <c r="T94" i="1"/>
  <c r="W94" i="1"/>
  <c r="X94" i="1" s="1"/>
  <c r="Y94" i="1" s="1"/>
  <c r="Y89" i="8"/>
  <c r="X90" i="8"/>
  <c r="T94" i="15"/>
  <c r="U94" i="15" s="1"/>
  <c r="V94" i="15" s="1"/>
  <c r="S95" i="15"/>
  <c r="U91" i="8"/>
  <c r="V91" i="8" s="1"/>
  <c r="W91" i="8"/>
  <c r="Y90" i="8" l="1"/>
  <c r="X91" i="8"/>
  <c r="U95" i="1"/>
  <c r="V95" i="1" s="1"/>
  <c r="T95" i="1"/>
  <c r="S96" i="1"/>
  <c r="W95" i="1"/>
  <c r="X95" i="1" s="1"/>
  <c r="Y95" i="1" s="1"/>
  <c r="T93" i="4"/>
  <c r="U93" i="4" s="1"/>
  <c r="V93" i="4" s="1"/>
  <c r="S94" i="4"/>
  <c r="T93" i="2"/>
  <c r="U93" i="2" s="1"/>
  <c r="V93" i="2" s="1"/>
  <c r="S94" i="2"/>
  <c r="T93" i="8"/>
  <c r="S94" i="8"/>
  <c r="U92" i="8"/>
  <c r="V92" i="8" s="1"/>
  <c r="W92" i="8"/>
  <c r="Y96" i="10"/>
  <c r="X97" i="10"/>
  <c r="T95" i="5"/>
  <c r="U95" i="5" s="1"/>
  <c r="V95" i="5" s="1"/>
  <c r="S96" i="5"/>
  <c r="T96" i="5" s="1"/>
  <c r="U96" i="5" s="1"/>
  <c r="V96" i="5" s="1"/>
  <c r="T95" i="15"/>
  <c r="U95" i="15" s="1"/>
  <c r="V95" i="15" s="1"/>
  <c r="S96" i="15"/>
  <c r="T96" i="15" s="1"/>
  <c r="U96" i="15" s="1"/>
  <c r="V96" i="15" s="1"/>
  <c r="T94" i="11"/>
  <c r="U94" i="11" s="1"/>
  <c r="V94" i="11" s="1"/>
  <c r="S95" i="11"/>
  <c r="T94" i="13"/>
  <c r="U94" i="13" s="1"/>
  <c r="V94" i="13" s="1"/>
  <c r="S95" i="13"/>
  <c r="T94" i="14"/>
  <c r="U94" i="14" s="1"/>
  <c r="V94" i="14" s="1"/>
  <c r="S95" i="14"/>
  <c r="Y95" i="10"/>
  <c r="X96" i="10"/>
  <c r="T95" i="13" l="1"/>
  <c r="U95" i="13" s="1"/>
  <c r="V95" i="13" s="1"/>
  <c r="S96" i="13"/>
  <c r="T96" i="13" s="1"/>
  <c r="U96" i="13" s="1"/>
  <c r="V96" i="13" s="1"/>
  <c r="T94" i="8"/>
  <c r="S95" i="8"/>
  <c r="T94" i="4"/>
  <c r="U94" i="4" s="1"/>
  <c r="V94" i="4" s="1"/>
  <c r="S95" i="4"/>
  <c r="U93" i="8"/>
  <c r="V93" i="8" s="1"/>
  <c r="W93" i="8"/>
  <c r="T95" i="14"/>
  <c r="U95" i="14" s="1"/>
  <c r="V95" i="14" s="1"/>
  <c r="S96" i="14"/>
  <c r="T96" i="14" s="1"/>
  <c r="U96" i="14" s="1"/>
  <c r="V96" i="14" s="1"/>
  <c r="T95" i="11"/>
  <c r="U95" i="11" s="1"/>
  <c r="V95" i="11" s="1"/>
  <c r="S96" i="11"/>
  <c r="T96" i="11" s="1"/>
  <c r="U96" i="11" s="1"/>
  <c r="V96" i="11" s="1"/>
  <c r="Y91" i="8"/>
  <c r="X92" i="8"/>
  <c r="T94" i="2"/>
  <c r="U94" i="2" s="1"/>
  <c r="V94" i="2" s="1"/>
  <c r="S95" i="2"/>
  <c r="U96" i="1"/>
  <c r="V96" i="1" s="1"/>
  <c r="T96" i="1"/>
  <c r="W96" i="1"/>
  <c r="X96" i="1" s="1"/>
  <c r="Y96" i="1" s="1"/>
  <c r="T95" i="2" l="1"/>
  <c r="U95" i="2" s="1"/>
  <c r="V95" i="2" s="1"/>
  <c r="S96" i="2"/>
  <c r="T96" i="2" s="1"/>
  <c r="U96" i="2" s="1"/>
  <c r="V96" i="2" s="1"/>
  <c r="Y92" i="8"/>
  <c r="X93" i="8"/>
  <c r="T95" i="8"/>
  <c r="S96" i="8"/>
  <c r="T96" i="8" s="1"/>
  <c r="U94" i="8"/>
  <c r="V94" i="8" s="1"/>
  <c r="W94" i="8"/>
  <c r="T95" i="4"/>
  <c r="U95" i="4" s="1"/>
  <c r="V95" i="4" s="1"/>
  <c r="S96" i="4"/>
  <c r="T96" i="4" s="1"/>
  <c r="U96" i="4" s="1"/>
  <c r="V96" i="4" s="1"/>
  <c r="Y93" i="8" l="1"/>
  <c r="X94" i="8"/>
  <c r="U96" i="8"/>
  <c r="V96" i="8" s="1"/>
  <c r="W96" i="8"/>
  <c r="U95" i="8"/>
  <c r="V95" i="8" s="1"/>
  <c r="W95" i="8"/>
  <c r="Y95" i="8" l="1"/>
  <c r="X96" i="8"/>
  <c r="Y94" i="8"/>
  <c r="X95" i="8"/>
</calcChain>
</file>

<file path=xl/comments1.xml><?xml version="1.0" encoding="utf-8"?>
<comments xmlns="http://schemas.openxmlformats.org/spreadsheetml/2006/main">
  <authors>
    <author>Peter Lap</author>
    <author/>
    <author>Peter</author>
  </authors>
  <commentList>
    <comment ref="Y6" authorId="0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0" authorId="1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B11" authorId="1" shapeId="0">
      <text>
        <r>
          <rPr>
            <b/>
            <sz val="8"/>
            <color indexed="8"/>
            <rFont val="Tahoma"/>
            <family val="2"/>
          </rPr>
          <t>Corner frequency</t>
        </r>
      </text>
    </comment>
    <comment ref="B16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7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23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10.xml><?xml version="1.0" encoding="utf-8"?>
<comments xmlns="http://schemas.openxmlformats.org/spreadsheetml/2006/main">
  <authors>
    <author>Peter Lap</author>
    <author/>
    <author>Peter</author>
  </authors>
  <commentList>
    <comment ref="V6" authorId="0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7" authorId="1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11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2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3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4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5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6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7.xml><?xml version="1.0" encoding="utf-8"?>
<comments xmlns="http://schemas.openxmlformats.org/spreadsheetml/2006/main">
  <authors>
    <author>Peter Lap</author>
    <author/>
    <author>Peter</author>
  </authors>
  <commentList>
    <comment ref="V6" authorId="0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7" authorId="1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8.xml><?xml version="1.0" encoding="utf-8"?>
<comments xmlns="http://schemas.openxmlformats.org/spreadsheetml/2006/main">
  <authors>
    <author/>
    <author>Peter Lap</author>
    <author>Peter</author>
  </authors>
  <commentList>
    <comment ref="B6" authorId="0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V6" authorId="1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comments9.xml><?xml version="1.0" encoding="utf-8"?>
<comments xmlns="http://schemas.openxmlformats.org/spreadsheetml/2006/main">
  <authors>
    <author>Peter Lap</author>
    <author/>
    <author>Peter</author>
  </authors>
  <commentList>
    <comment ref="V6" authorId="0" shapeId="0">
      <text>
        <r>
          <rPr>
            <b/>
            <sz val="8"/>
            <color indexed="81"/>
            <rFont val="Tahoma"/>
            <family val="2"/>
          </rPr>
          <t>Calculated from digital coefficients</t>
        </r>
      </text>
    </comment>
    <comment ref="B7" authorId="1" shapeId="0">
      <text>
        <r>
          <rPr>
            <b/>
            <sz val="8"/>
            <color indexed="8"/>
            <rFont val="Tahoma"/>
            <family val="2"/>
          </rPr>
          <t>Sample frequency</t>
        </r>
      </text>
    </comment>
    <comment ref="B12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Reversed sign is absorbed in the coefficient. A' is used.</t>
        </r>
      </text>
    </comment>
    <comment ref="B19" authorId="2" shapeId="0">
      <text>
        <r>
          <rPr>
            <b/>
            <sz val="8"/>
            <color indexed="81"/>
            <rFont val="Tahoma"/>
            <family val="2"/>
          </rPr>
          <t>Status must be stable to get a usable digital filter</t>
        </r>
      </text>
    </comment>
  </commentList>
</comments>
</file>

<file path=xl/sharedStrings.xml><?xml version="1.0" encoding="utf-8"?>
<sst xmlns="http://schemas.openxmlformats.org/spreadsheetml/2006/main" count="469" uniqueCount="67">
  <si>
    <t>The equalizer cancels the original complex poles with zeros</t>
  </si>
  <si>
    <t>Fill in Linkwitz-transform parameters:</t>
  </si>
  <si>
    <t xml:space="preserve"> (f0, Q0) and adds a new pair of complex poles (fp, Qp) to</t>
  </si>
  <si>
    <t>f(0)</t>
  </si>
  <si>
    <t>Hz</t>
  </si>
  <si>
    <t xml:space="preserve"> obtain a targeted 2nd order highpass filter response.</t>
  </si>
  <si>
    <t>Q(0)</t>
  </si>
  <si>
    <t>f(p)</t>
  </si>
  <si>
    <t>f0, Q0</t>
  </si>
  <si>
    <t>fp, Qp</t>
  </si>
  <si>
    <t>Q(p)</t>
  </si>
  <si>
    <t>Frequency</t>
  </si>
  <si>
    <t>Original</t>
  </si>
  <si>
    <t>Target</t>
  </si>
  <si>
    <t>dB</t>
  </si>
  <si>
    <t>LP/HP</t>
  </si>
  <si>
    <t>Fs</t>
  </si>
  <si>
    <t>Fc</t>
  </si>
  <si>
    <t>Digital coefficients: supply to the MiniDSP plugin - advanced biquad</t>
  </si>
  <si>
    <t>a0</t>
  </si>
  <si>
    <t>a1</t>
  </si>
  <si>
    <t>a2</t>
  </si>
  <si>
    <t>b0</t>
  </si>
  <si>
    <t>b1</t>
  </si>
  <si>
    <t>b2</t>
  </si>
  <si>
    <t>Analog coefficients</t>
  </si>
  <si>
    <t>d0i</t>
  </si>
  <si>
    <t>d1i</t>
  </si>
  <si>
    <t>d2i</t>
  </si>
  <si>
    <t>c0i</t>
  </si>
  <si>
    <t>c1i</t>
  </si>
  <si>
    <t>c2i</t>
  </si>
  <si>
    <t>gn</t>
  </si>
  <si>
    <t>cci</t>
  </si>
  <si>
    <t>Status</t>
  </si>
  <si>
    <t>phi</t>
  </si>
  <si>
    <t>w</t>
  </si>
  <si>
    <t>Target equalizer</t>
  </si>
  <si>
    <t>Digital coefficients</t>
  </si>
  <si>
    <t>a</t>
  </si>
  <si>
    <t>b</t>
  </si>
  <si>
    <t>c</t>
  </si>
  <si>
    <t>D</t>
  </si>
  <si>
    <t>real root1</t>
  </si>
  <si>
    <t>real root2</t>
  </si>
  <si>
    <t>real part</t>
  </si>
  <si>
    <t>i part</t>
  </si>
  <si>
    <t>magnitude</t>
  </si>
  <si>
    <t>Poles</t>
  </si>
  <si>
    <t>Zeros</t>
  </si>
  <si>
    <t>Freq.</t>
  </si>
  <si>
    <t>Q</t>
  </si>
  <si>
    <t>w0</t>
  </si>
  <si>
    <t>alpha</t>
  </si>
  <si>
    <t>Digital coefficients: supply to the</t>
  </si>
  <si>
    <t>MiniDSP plugin - advanced biquad</t>
  </si>
  <si>
    <t>Fill in parameters:</t>
  </si>
  <si>
    <t>Phase</t>
  </si>
  <si>
    <t>Group</t>
  </si>
  <si>
    <t>delay</t>
  </si>
  <si>
    <t>rad</t>
  </si>
  <si>
    <t>deg</t>
  </si>
  <si>
    <t xml:space="preserve"> </t>
  </si>
  <si>
    <t>constant skirt gain, peak gain =Q</t>
  </si>
  <si>
    <t>constant 0 dB peak gain</t>
  </si>
  <si>
    <t>Gain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</si>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</sst>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.000000000000000"/>
    <numFmt numFmtId="178" formatCode="0.00000000000000"/>
    <numFmt numFmtId="179" formatCode="0.0000000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b/>
      <sz val="8"/>
      <color indexed="8"/>
      <name val="Tahoma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9"/>
      <color indexed="30"/>
      <name val="Arial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3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3" fillId="0" borderId="4" xfId="0" applyFont="1" applyBorder="1"/>
    <xf numFmtId="176" fontId="0" fillId="0" borderId="1" xfId="0" applyNumberFormat="1" applyBorder="1"/>
    <xf numFmtId="176" fontId="0" fillId="0" borderId="0" xfId="0" applyNumberFormat="1"/>
    <xf numFmtId="3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/>
    <xf numFmtId="2" fontId="1" fillId="0" borderId="0" xfId="0" quotePrefix="1" applyNumberFormat="1" applyFont="1"/>
    <xf numFmtId="177" fontId="0" fillId="3" borderId="0" xfId="0" applyNumberFormat="1" applyFill="1"/>
    <xf numFmtId="177" fontId="0" fillId="0" borderId="0" xfId="0" applyNumberFormat="1"/>
    <xf numFmtId="178" fontId="0" fillId="0" borderId="0" xfId="0" applyNumberFormat="1"/>
    <xf numFmtId="1" fontId="0" fillId="3" borderId="0" xfId="0" applyNumberFormat="1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5" borderId="0" xfId="0" applyFill="1"/>
    <xf numFmtId="0" fontId="1" fillId="0" borderId="0" xfId="1"/>
    <xf numFmtId="2" fontId="0" fillId="0" borderId="0" xfId="0" applyNumberFormat="1" applyBorder="1"/>
    <xf numFmtId="0" fontId="0" fillId="0" borderId="0" xfId="0" applyBorder="1"/>
    <xf numFmtId="179" fontId="0" fillId="0" borderId="0" xfId="0" applyNumberFormat="1"/>
    <xf numFmtId="177" fontId="0" fillId="0" borderId="0" xfId="0" applyNumberFormat="1" applyFill="1"/>
    <xf numFmtId="0" fontId="5" fillId="0" borderId="0" xfId="0" applyFont="1"/>
    <xf numFmtId="0" fontId="2" fillId="0" borderId="0" xfId="0" applyFont="1" applyAlignment="1">
      <alignment wrapText="1"/>
    </xf>
  </cellXfs>
  <cellStyles count="2">
    <cellStyle name="Standaard_Bi Quad_3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7639726233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9312015989826"/>
          <c:y val="0.20038126537217493"/>
          <c:w val="0.8465575437954258"/>
          <c:h val="0.59552562979767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LT!$T$6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LT!$S$8:$S$97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LT!$T$8:$T$97</c:f>
              <c:numCache>
                <c:formatCode>0.0</c:formatCode>
                <c:ptCount val="90"/>
                <c:pt idx="0">
                  <c:v>-29.42614974448902</c:v>
                </c:pt>
                <c:pt idx="1">
                  <c:v>-27.885547910898772</c:v>
                </c:pt>
                <c:pt idx="2">
                  <c:v>-26.338328413572537</c:v>
                </c:pt>
                <c:pt idx="3">
                  <c:v>-24.783285520698481</c:v>
                </c:pt>
                <c:pt idx="4">
                  <c:v>-23.219011164661108</c:v>
                </c:pt>
                <c:pt idx="5">
                  <c:v>-21.643872250163241</c:v>
                </c:pt>
                <c:pt idx="6">
                  <c:v>-20.055993895422809</c:v>
                </c:pt>
                <c:pt idx="7">
                  <c:v>-18.453256963808993</c:v>
                </c:pt>
                <c:pt idx="8">
                  <c:v>-16.83332529100884</c:v>
                </c:pt>
                <c:pt idx="9">
                  <c:v>-15.193730731993229</c:v>
                </c:pt>
                <c:pt idx="10">
                  <c:v>-13.532067100206097</c:v>
                </c:pt>
                <c:pt idx="11">
                  <c:v>-11.846385217994968</c:v>
                </c:pt>
                <c:pt idx="12">
                  <c:v>-10.135953631959376</c:v>
                </c:pt>
                <c:pt idx="13">
                  <c:v>-8.4026705893917377</c:v>
                </c:pt>
                <c:pt idx="14">
                  <c:v>-6.6535921707543357</c:v>
                </c:pt>
                <c:pt idx="15">
                  <c:v>-4.9052229949805284</c:v>
                </c:pt>
                <c:pt idx="16">
                  <c:v>-3.1900923410698043</c:v>
                </c:pt>
                <c:pt idx="17">
                  <c:v>-1.5647515254584281</c:v>
                </c:pt>
                <c:pt idx="18">
                  <c:v>-0.11395630860178541</c:v>
                </c:pt>
                <c:pt idx="19">
                  <c:v>1.061031370527294</c:v>
                </c:pt>
                <c:pt idx="20">
                  <c:v>1.8798831906398659</c:v>
                </c:pt>
                <c:pt idx="21">
                  <c:v>2.3284702581881942</c:v>
                </c:pt>
                <c:pt idx="22">
                  <c:v>2.468112130597083</c:v>
                </c:pt>
                <c:pt idx="23">
                  <c:v>2.398181502234646</c:v>
                </c:pt>
                <c:pt idx="24">
                  <c:v>2.2118188936528904</c:v>
                </c:pt>
                <c:pt idx="25">
                  <c:v>1.9754947037931307</c:v>
                </c:pt>
                <c:pt idx="26">
                  <c:v>1.7292761084667454</c:v>
                </c:pt>
                <c:pt idx="27">
                  <c:v>1.4944243844948257</c:v>
                </c:pt>
                <c:pt idx="28">
                  <c:v>1.2807112278291655</c:v>
                </c:pt>
                <c:pt idx="29">
                  <c:v>1.0914814210242358</c:v>
                </c:pt>
                <c:pt idx="30">
                  <c:v>0.92672013811833232</c:v>
                </c:pt>
                <c:pt idx="31">
                  <c:v>0.78479304881176404</c:v>
                </c:pt>
                <c:pt idx="32">
                  <c:v>0.66339502024422714</c:v>
                </c:pt>
                <c:pt idx="33">
                  <c:v>0.56004974658334206</c:v>
                </c:pt>
                <c:pt idx="34">
                  <c:v>0.47236086793958521</c:v>
                </c:pt>
                <c:pt idx="35">
                  <c:v>0.39812779059356274</c:v>
                </c:pt>
                <c:pt idx="36">
                  <c:v>0.33538910067635896</c:v>
                </c:pt>
                <c:pt idx="37">
                  <c:v>0.28242826338194149</c:v>
                </c:pt>
                <c:pt idx="38">
                  <c:v>0.23776065065633389</c:v>
                </c:pt>
                <c:pt idx="39">
                  <c:v>0.2001122714388508</c:v>
                </c:pt>
                <c:pt idx="40">
                  <c:v>0.16839577065422162</c:v>
                </c:pt>
                <c:pt idx="41">
                  <c:v>0.14168659417096308</c:v>
                </c:pt>
                <c:pt idx="42">
                  <c:v>0.11920073822598454</c:v>
                </c:pt>
                <c:pt idx="43">
                  <c:v>0.10027468887792423</c:v>
                </c:pt>
                <c:pt idx="44">
                  <c:v>8.4347718028922714E-2</c:v>
                </c:pt>
                <c:pt idx="45">
                  <c:v>7.0946473832471213E-2</c:v>
                </c:pt>
                <c:pt idx="46">
                  <c:v>5.9671692518939778E-2</c:v>
                </c:pt>
                <c:pt idx="47">
                  <c:v>5.0186813375574957E-2</c:v>
                </c:pt>
                <c:pt idx="48">
                  <c:v>4.2208268930039594E-2</c:v>
                </c:pt>
                <c:pt idx="49">
                  <c:v>3.5497231271811813E-2</c:v>
                </c:pt>
                <c:pt idx="50">
                  <c:v>2.9852613239846448E-2</c:v>
                </c:pt>
                <c:pt idx="51">
                  <c:v>2.5105144488222209E-2</c:v>
                </c:pt>
                <c:pt idx="52">
                  <c:v>2.1112364250200244E-2</c:v>
                </c:pt>
                <c:pt idx="53">
                  <c:v>1.7754393402974245E-2</c:v>
                </c:pt>
                <c:pt idx="54">
                  <c:v>1.4930367454432769E-2</c:v>
                </c:pt>
                <c:pt idx="55">
                  <c:v>1.2555429049427858E-2</c:v>
                </c:pt>
                <c:pt idx="56">
                  <c:v>1.0558193500962432E-2</c:v>
                </c:pt>
                <c:pt idx="57">
                  <c:v>8.8786137982665991E-3</c:v>
                </c:pt>
                <c:pt idx="58">
                  <c:v>7.466182700710533E-3</c:v>
                </c:pt>
                <c:pt idx="59">
                  <c:v>6.2784190847224863E-3</c:v>
                </c:pt>
                <c:pt idx="60">
                  <c:v>5.2795938677547838E-3</c:v>
                </c:pt>
                <c:pt idx="61">
                  <c:v>4.4396577712433327E-3</c:v>
                </c:pt>
                <c:pt idx="62">
                  <c:v>3.7333390723546245E-3</c:v>
                </c:pt>
                <c:pt idx="63">
                  <c:v>3.1393844812157568E-3</c:v>
                </c:pt>
                <c:pt idx="64">
                  <c:v>2.6399204993623471E-3</c:v>
                </c:pt>
                <c:pt idx="65">
                  <c:v>2.2199161793992062E-3</c:v>
                </c:pt>
                <c:pt idx="66">
                  <c:v>1.8667312145055348E-3</c:v>
                </c:pt>
                <c:pt idx="67">
                  <c:v>1.5697358254271876E-3</c:v>
                </c:pt>
                <c:pt idx="68">
                  <c:v>1.3199910519432478E-3</c:v>
                </c:pt>
                <c:pt idx="69">
                  <c:v>1.1099798601605926E-3</c:v>
                </c:pt>
                <c:pt idx="70">
                  <c:v>9.3338099534889807E-4</c:v>
                </c:pt>
                <c:pt idx="71">
                  <c:v>7.8487879019917273E-4</c:v>
                </c:pt>
                <c:pt idx="72">
                  <c:v>6.6000321541537232E-4</c:v>
                </c:pt>
                <c:pt idx="73">
                  <c:v>5.5499536608749622E-4</c:v>
                </c:pt>
                <c:pt idx="74">
                  <c:v>4.6669434077273309E-4</c:v>
                </c:pt>
                <c:pt idx="75">
                  <c:v>3.9244211211553193E-4</c:v>
                </c:pt>
                <c:pt idx="76">
                  <c:v>3.30003528688394E-4</c:v>
                </c:pt>
                <c:pt idx="77">
                  <c:v>2.7749904121776581E-4</c:v>
                </c:pt>
                <c:pt idx="78">
                  <c:v>2.3334813066355764E-4</c:v>
                </c:pt>
                <c:pt idx="79">
                  <c:v>1.962217350381934E-4</c:v>
                </c:pt>
                <c:pt idx="80">
                  <c:v>1.6500224441529099E-4</c:v>
                </c:pt>
                <c:pt idx="81">
                  <c:v>1.387498600422532E-4</c:v>
                </c:pt>
                <c:pt idx="82">
                  <c:v>1.1667430534600953E-4</c:v>
                </c:pt>
                <c:pt idx="83">
                  <c:v>9.8111037232229137E-5</c:v>
                </c:pt>
                <c:pt idx="84">
                  <c:v>8.2501242189891855E-5</c:v>
                </c:pt>
                <c:pt idx="85">
                  <c:v>6.9375014874140106E-5</c:v>
                </c:pt>
                <c:pt idx="86">
                  <c:v>5.8337212678338801E-5</c:v>
                </c:pt>
                <c:pt idx="87">
                  <c:v>4.9055561035515893E-5</c:v>
                </c:pt>
                <c:pt idx="88">
                  <c:v>4.1250651108271086E-5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0-4554-B3A9-2BD5016518A3}"/>
            </c:ext>
          </c:extLst>
        </c:ser>
        <c:ser>
          <c:idx val="1"/>
          <c:order val="1"/>
          <c:tx>
            <c:strRef>
              <c:f>LT!$U$6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xVal>
            <c:numRef>
              <c:f>LT!$S$8:$S$97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LT!$U$8:$U$97</c:f>
              <c:numCache>
                <c:formatCode>0.0</c:formatCode>
                <c:ptCount val="90"/>
                <c:pt idx="0">
                  <c:v>-17.206760131419873</c:v>
                </c:pt>
                <c:pt idx="1">
                  <c:v>-15.925383023111221</c:v>
                </c:pt>
                <c:pt idx="2">
                  <c:v>-14.679051999394023</c:v>
                </c:pt>
                <c:pt idx="3">
                  <c:v>-13.471977313016668</c:v>
                </c:pt>
                <c:pt idx="4">
                  <c:v>-12.308479057718875</c:v>
                </c:pt>
                <c:pt idx="5">
                  <c:v>-11.192869836285759</c:v>
                </c:pt>
                <c:pt idx="6">
                  <c:v>-10.129312364347602</c:v>
                </c:pt>
                <c:pt idx="7">
                  <c:v>-9.1216581597609494</c:v>
                </c:pt>
                <c:pt idx="8">
                  <c:v>-8.1732774812762123</c:v>
                </c:pt>
                <c:pt idx="9">
                  <c:v>-7.2868941572282662</c:v>
                </c:pt>
                <c:pt idx="10">
                  <c:v>-6.4644409669580014</c:v>
                </c:pt>
                <c:pt idx="11">
                  <c:v>-5.7069510013092781</c:v>
                </c:pt>
                <c:pt idx="12">
                  <c:v>-5.0144975470517057</c:v>
                </c:pt>
                <c:pt idx="13">
                  <c:v>-4.3861897682058331</c:v>
                </c:pt>
                <c:pt idx="14">
                  <c:v>-3.8202247155605553</c:v>
                </c:pt>
                <c:pt idx="15">
                  <c:v>-3.313989344382664</c:v>
                </c:pt>
                <c:pt idx="16">
                  <c:v>-2.8642006532205109</c:v>
                </c:pt>
                <c:pt idx="17">
                  <c:v>-2.4670687809983853</c:v>
                </c:pt>
                <c:pt idx="18">
                  <c:v>-2.1184672750515841</c:v>
                </c:pt>
                <c:pt idx="19">
                  <c:v>-1.8140964686455003</c:v>
                </c:pt>
                <c:pt idx="20">
                  <c:v>-1.5496292233946072</c:v>
                </c:pt>
                <c:pt idx="21">
                  <c:v>-1.3208322804026089</c:v>
                </c:pt>
                <c:pt idx="22">
                  <c:v>-1.1236603118596875</c:v>
                </c:pt>
                <c:pt idx="23">
                  <c:v>-0.95432292476281688</c:v>
                </c:pt>
                <c:pt idx="24">
                  <c:v>-0.80932709186460272</c:v>
                </c:pt>
                <c:pt idx="25">
                  <c:v>-0.68549876900640783</c:v>
                </c:pt>
                <c:pt idx="26">
                  <c:v>-0.57998795393594804</c:v>
                </c:pt>
                <c:pt idx="27">
                  <c:v>-0.49026136594218883</c:v>
                </c:pt>
                <c:pt idx="28">
                  <c:v>-0.41408649447449974</c:v>
                </c:pt>
                <c:pt idx="29">
                  <c:v>-0.34951015802612062</c:v>
                </c:pt>
                <c:pt idx="30">
                  <c:v>-0.29483406194521322</c:v>
                </c:pt>
                <c:pt idx="31">
                  <c:v>-0.24858922777532655</c:v>
                </c:pt>
                <c:pt idx="32">
                  <c:v>-0.20951063107492018</c:v>
                </c:pt>
                <c:pt idx="33">
                  <c:v>-0.17651294601307654</c:v>
                </c:pt>
                <c:pt idx="34">
                  <c:v>-0.14866795279539247</c:v>
                </c:pt>
                <c:pt idx="35">
                  <c:v>-0.12518390815966285</c:v>
                </c:pt>
                <c:pt idx="36">
                  <c:v>-0.10538699580136068</c:v>
                </c:pt>
                <c:pt idx="37">
                  <c:v>-8.8704847975854761E-2</c:v>
                </c:pt>
                <c:pt idx="38">
                  <c:v>-7.465204816873694E-2</c:v>
                </c:pt>
                <c:pt idx="39">
                  <c:v>-6.2817476103013803E-2</c:v>
                </c:pt>
                <c:pt idx="40">
                  <c:v>-5.2853331136276438E-2</c:v>
                </c:pt>
                <c:pt idx="41">
                  <c:v>-4.4465661033704862E-2</c:v>
                </c:pt>
                <c:pt idx="42">
                  <c:v>-3.740622472263766E-2</c:v>
                </c:pt>
                <c:pt idx="43">
                  <c:v>-3.146552594066776E-2</c:v>
                </c:pt>
                <c:pt idx="44">
                  <c:v>-2.646686683736732E-2</c:v>
                </c:pt>
                <c:pt idx="45">
                  <c:v>-2.226128460927157E-2</c:v>
                </c:pt>
                <c:pt idx="46">
                  <c:v>-1.872324882150167E-2</c:v>
                </c:pt>
                <c:pt idx="47">
                  <c:v>-1.5747011349347417E-2</c:v>
                </c:pt>
                <c:pt idx="48">
                  <c:v>-1.3243514348758367E-2</c:v>
                </c:pt>
                <c:pt idx="49">
                  <c:v>-1.1137774053331384E-2</c:v>
                </c:pt>
                <c:pt idx="50">
                  <c:v>-9.3666693743799101E-3</c:v>
                </c:pt>
                <c:pt idx="51">
                  <c:v>-7.8770742258313931E-3</c:v>
                </c:pt>
                <c:pt idx="52">
                  <c:v>-6.6242812488113145E-3</c:v>
                </c:pt>
                <c:pt idx="53">
                  <c:v>-5.5706722496964289E-3</c:v>
                </c:pt>
                <c:pt idx="54">
                  <c:v>-4.6845972880049658E-3</c:v>
                </c:pt>
                <c:pt idx="55">
                  <c:v>-3.9394300596740095E-3</c:v>
                </c:pt>
                <c:pt idx="56">
                  <c:v>-3.3127721242180996E-3</c:v>
                </c:pt>
                <c:pt idx="57">
                  <c:v>-2.7857827168276117E-3</c:v>
                </c:pt>
                <c:pt idx="58">
                  <c:v>-2.3426144644389524E-3</c:v>
                </c:pt>
                <c:pt idx="59">
                  <c:v>-1.9699383677789228E-3</c:v>
                </c:pt>
                <c:pt idx="60">
                  <c:v>-1.6565439972708873E-3</c:v>
                </c:pt>
                <c:pt idx="61">
                  <c:v>-1.3930030422244499E-3</c:v>
                </c:pt>
                <c:pt idx="62">
                  <c:v>-1.1713862086253357E-3</c:v>
                </c:pt>
                <c:pt idx="63">
                  <c:v>-9.8502503102793071E-4</c:v>
                </c:pt>
                <c:pt idx="64">
                  <c:v>-8.2831148995410331E-4</c:v>
                </c:pt>
                <c:pt idx="65">
                  <c:v>-6.9652944654308158E-4</c:v>
                </c:pt>
                <c:pt idx="66">
                  <c:v>-5.8571285107689164E-4</c:v>
                </c:pt>
                <c:pt idx="67">
                  <c:v>-4.9252647887954026E-4</c:v>
                </c:pt>
                <c:pt idx="68">
                  <c:v>-4.1416561874996205E-4</c:v>
                </c:pt>
                <c:pt idx="69">
                  <c:v>-3.482717051781492E-4</c:v>
                </c:pt>
                <c:pt idx="70">
                  <c:v>-2.9286136255279871E-4</c:v>
                </c:pt>
                <c:pt idx="71">
                  <c:v>-2.4626673047123404E-4</c:v>
                </c:pt>
                <c:pt idx="72">
                  <c:v>-2.0708527793544818E-4</c:v>
                </c:pt>
                <c:pt idx="73">
                  <c:v>-1.7413759813678098E-4</c:v>
                </c:pt>
                <c:pt idx="74">
                  <c:v>-1.4643191556729107E-4</c:v>
                </c:pt>
                <c:pt idx="75">
                  <c:v>-1.2313423802368106E-4</c:v>
                </c:pt>
                <c:pt idx="76">
                  <c:v>-1.0354325611672266E-4</c:v>
                </c:pt>
                <c:pt idx="77">
                  <c:v>-8.7069235462422512E-5</c:v>
                </c:pt>
                <c:pt idx="78">
                  <c:v>-7.3216266358144821E-5</c:v>
                </c:pt>
                <c:pt idx="79">
                  <c:v>-6.1567337198198402E-5</c:v>
                </c:pt>
                <c:pt idx="80">
                  <c:v>-5.1771782338505545E-5</c:v>
                </c:pt>
                <c:pt idx="81">
                  <c:v>-4.3534726827942904E-5</c:v>
                </c:pt>
                <c:pt idx="82">
                  <c:v>-3.6608210322697232E-5</c:v>
                </c:pt>
                <c:pt idx="83">
                  <c:v>-3.078372316167588E-5</c:v>
                </c:pt>
                <c:pt idx="84">
                  <c:v>-2.5885929758828752E-5</c:v>
                </c:pt>
                <c:pt idx="85">
                  <c:v>-2.1767390677496223E-5</c:v>
                </c:pt>
                <c:pt idx="86">
                  <c:v>-1.8304124452583892E-5</c:v>
                </c:pt>
                <c:pt idx="87">
                  <c:v>-1.5391875209047612E-5</c:v>
                </c:pt>
                <c:pt idx="88">
                  <c:v>-1.2942974507268445E-5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0-4554-B3A9-2BD5016518A3}"/>
            </c:ext>
          </c:extLst>
        </c:ser>
        <c:ser>
          <c:idx val="2"/>
          <c:order val="2"/>
          <c:tx>
            <c:strRef>
              <c:f>LT!$V$6</c:f>
              <c:strCache>
                <c:ptCount val="1"/>
                <c:pt idx="0">
                  <c:v>Target equalizer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LT!$S$8:$S$97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LT!$V$8:$V$97</c:f>
              <c:numCache>
                <c:formatCode>0.0</c:formatCode>
                <c:ptCount val="90"/>
                <c:pt idx="0">
                  <c:v>12.219389613069147</c:v>
                </c:pt>
                <c:pt idx="1">
                  <c:v>11.960164887787551</c:v>
                </c:pt>
                <c:pt idx="2">
                  <c:v>11.659276414178514</c:v>
                </c:pt>
                <c:pt idx="3">
                  <c:v>11.311308207681813</c:v>
                </c:pt>
                <c:pt idx="4">
                  <c:v>10.910532106942233</c:v>
                </c:pt>
                <c:pt idx="5">
                  <c:v>10.451002413877482</c:v>
                </c:pt>
                <c:pt idx="6">
                  <c:v>9.9266815310752072</c:v>
                </c:pt>
                <c:pt idx="7">
                  <c:v>9.3315988040480438</c:v>
                </c:pt>
                <c:pt idx="8">
                  <c:v>8.6600478097326281</c:v>
                </c:pt>
                <c:pt idx="9">
                  <c:v>7.9068365747649629</c:v>
                </c:pt>
                <c:pt idx="10">
                  <c:v>7.0676261332480959</c:v>
                </c:pt>
                <c:pt idx="11">
                  <c:v>6.1394342166856894</c:v>
                </c:pt>
                <c:pt idx="12">
                  <c:v>5.1214560849076705</c:v>
                </c:pt>
                <c:pt idx="13">
                  <c:v>4.0164808211859047</c:v>
                </c:pt>
                <c:pt idx="14">
                  <c:v>2.8333674551937804</c:v>
                </c:pt>
                <c:pt idx="15">
                  <c:v>1.5912336505978644</c:v>
                </c:pt>
                <c:pt idx="16">
                  <c:v>0.32589168784929345</c:v>
                </c:pt>
                <c:pt idx="17">
                  <c:v>-0.90231725553995723</c:v>
                </c:pt>
                <c:pt idx="18">
                  <c:v>-2.0045109664497986</c:v>
                </c:pt>
                <c:pt idx="19">
                  <c:v>-2.8751278391727944</c:v>
                </c:pt>
                <c:pt idx="20">
                  <c:v>-3.4295124140344733</c:v>
                </c:pt>
                <c:pt idx="21">
                  <c:v>-3.6493025385908031</c:v>
                </c:pt>
                <c:pt idx="22">
                  <c:v>-3.5917724424567705</c:v>
                </c:pt>
                <c:pt idx="23">
                  <c:v>-3.3525044269974629</c:v>
                </c:pt>
                <c:pt idx="24">
                  <c:v>-3.0211459855174931</c:v>
                </c:pt>
                <c:pt idx="25">
                  <c:v>-2.6609934727995386</c:v>
                </c:pt>
                <c:pt idx="26">
                  <c:v>-2.3092640624026934</c:v>
                </c:pt>
                <c:pt idx="27">
                  <c:v>-1.9846857504370146</c:v>
                </c:pt>
                <c:pt idx="28">
                  <c:v>-1.6947977223036652</c:v>
                </c:pt>
                <c:pt idx="29">
                  <c:v>-1.4409915790503565</c:v>
                </c:pt>
                <c:pt idx="30">
                  <c:v>-1.2215542000635455</c:v>
                </c:pt>
                <c:pt idx="31">
                  <c:v>-1.0333822765870906</c:v>
                </c:pt>
                <c:pt idx="32">
                  <c:v>-0.87290565131914732</c:v>
                </c:pt>
                <c:pt idx="33">
                  <c:v>-0.7365626925964186</c:v>
                </c:pt>
                <c:pt idx="34">
                  <c:v>-0.62102882073497767</c:v>
                </c:pt>
                <c:pt idx="35">
                  <c:v>-0.52331169875322558</c:v>
                </c:pt>
                <c:pt idx="36">
                  <c:v>-0.44077609647771965</c:v>
                </c:pt>
                <c:pt idx="37">
                  <c:v>-0.37113311135779625</c:v>
                </c:pt>
                <c:pt idx="38">
                  <c:v>-0.31241269882507083</c:v>
                </c:pt>
                <c:pt idx="39">
                  <c:v>-0.2629297475418646</c:v>
                </c:pt>
                <c:pt idx="40">
                  <c:v>-0.22124910179049806</c:v>
                </c:pt>
                <c:pt idx="41">
                  <c:v>-0.18615225520466794</c:v>
                </c:pt>
                <c:pt idx="42">
                  <c:v>-0.1566069629486222</c:v>
                </c:pt>
                <c:pt idx="43">
                  <c:v>-0.13174021481859199</c:v>
                </c:pt>
                <c:pt idx="44">
                  <c:v>-0.11081458486629003</c:v>
                </c:pt>
                <c:pt idx="45">
                  <c:v>-9.3207758441742783E-2</c:v>
                </c:pt>
                <c:pt idx="46">
                  <c:v>-7.8394941340441449E-2</c:v>
                </c:pt>
                <c:pt idx="47">
                  <c:v>-6.5933824724922374E-2</c:v>
                </c:pt>
                <c:pt idx="48">
                  <c:v>-5.5451783278797961E-2</c:v>
                </c:pt>
                <c:pt idx="49">
                  <c:v>-4.6635005325143197E-2</c:v>
                </c:pt>
                <c:pt idx="50">
                  <c:v>-3.9219282614226358E-2</c:v>
                </c:pt>
                <c:pt idx="51">
                  <c:v>-3.2982218714053602E-2</c:v>
                </c:pt>
                <c:pt idx="52">
                  <c:v>-2.7736645499011559E-2</c:v>
                </c:pt>
                <c:pt idx="53">
                  <c:v>-2.3325065652670673E-2</c:v>
                </c:pt>
                <c:pt idx="54">
                  <c:v>-1.9614964742437735E-2</c:v>
                </c:pt>
                <c:pt idx="55">
                  <c:v>-1.6494859109101867E-2</c:v>
                </c:pt>
                <c:pt idx="56">
                  <c:v>-1.3870965625180531E-2</c:v>
                </c:pt>
                <c:pt idx="57">
                  <c:v>-1.1664396515094211E-2</c:v>
                </c:pt>
                <c:pt idx="58">
                  <c:v>-9.8087971651494854E-3</c:v>
                </c:pt>
                <c:pt idx="59">
                  <c:v>-8.2483574525014092E-3</c:v>
                </c:pt>
                <c:pt idx="60">
                  <c:v>-6.9361378650256711E-3</c:v>
                </c:pt>
                <c:pt idx="61">
                  <c:v>-5.8326608134677826E-3</c:v>
                </c:pt>
                <c:pt idx="62">
                  <c:v>-4.9047252809799602E-3</c:v>
                </c:pt>
                <c:pt idx="63">
                  <c:v>-4.1244095122436875E-3</c:v>
                </c:pt>
                <c:pt idx="64">
                  <c:v>-3.4682319893164504E-3</c:v>
                </c:pt>
                <c:pt idx="65">
                  <c:v>-2.9164456259422877E-3</c:v>
                </c:pt>
                <c:pt idx="66">
                  <c:v>-2.4524440655824264E-3</c:v>
                </c:pt>
                <c:pt idx="67">
                  <c:v>-2.0622623043067279E-3</c:v>
                </c:pt>
                <c:pt idx="68">
                  <c:v>-1.7341566706932099E-3</c:v>
                </c:pt>
                <c:pt idx="69">
                  <c:v>-1.4582515653387418E-3</c:v>
                </c:pt>
                <c:pt idx="70">
                  <c:v>-1.2262423579016968E-3</c:v>
                </c:pt>
                <c:pt idx="71">
                  <c:v>-1.0311455206704068E-3</c:v>
                </c:pt>
                <c:pt idx="72">
                  <c:v>-8.670884933508205E-4</c:v>
                </c:pt>
                <c:pt idx="73">
                  <c:v>-7.291329642242772E-4</c:v>
                </c:pt>
                <c:pt idx="74">
                  <c:v>-6.1312625634002416E-4</c:v>
                </c:pt>
                <c:pt idx="75">
                  <c:v>-5.1557635013921299E-4</c:v>
                </c:pt>
                <c:pt idx="76">
                  <c:v>-4.3354678480511666E-4</c:v>
                </c:pt>
                <c:pt idx="77">
                  <c:v>-3.6456827668018832E-4</c:v>
                </c:pt>
                <c:pt idx="78">
                  <c:v>-3.0656439702170246E-4</c:v>
                </c:pt>
                <c:pt idx="79">
                  <c:v>-2.577890722363918E-4</c:v>
                </c:pt>
                <c:pt idx="80">
                  <c:v>-2.1677402675379653E-4</c:v>
                </c:pt>
                <c:pt idx="81">
                  <c:v>-1.8228458687019611E-4</c:v>
                </c:pt>
                <c:pt idx="82">
                  <c:v>-1.5328251566870676E-4</c:v>
                </c:pt>
                <c:pt idx="83">
                  <c:v>-1.2889476039390502E-4</c:v>
                </c:pt>
                <c:pt idx="84">
                  <c:v>-1.0838717194872061E-4</c:v>
                </c:pt>
                <c:pt idx="85">
                  <c:v>-9.114240555163633E-5</c:v>
                </c:pt>
                <c:pt idx="86">
                  <c:v>-7.6641337130922693E-5</c:v>
                </c:pt>
                <c:pt idx="87">
                  <c:v>-6.4447436244563505E-5</c:v>
                </c:pt>
                <c:pt idx="88">
                  <c:v>-5.4193625615539531E-5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0-4554-B3A9-2BD5016518A3}"/>
            </c:ext>
          </c:extLst>
        </c:ser>
        <c:ser>
          <c:idx val="3"/>
          <c:order val="3"/>
          <c:tx>
            <c:strRef>
              <c:f>LT!$Y$6</c:f>
              <c:strCache>
                <c:ptCount val="1"/>
                <c:pt idx="0">
                  <c:v>Digital coefficients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LT!$S$8:$S$97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LT!$Y$8:$Y$97</c:f>
              <c:numCache>
                <c:formatCode>0.00</c:formatCode>
                <c:ptCount val="90"/>
                <c:pt idx="0">
                  <c:v>12.219395549088503</c:v>
                </c:pt>
                <c:pt idx="1">
                  <c:v>11.960171702709658</c:v>
                </c:pt>
                <c:pt idx="2">
                  <c:v>11.659284190706586</c:v>
                </c:pt>
                <c:pt idx="3">
                  <c:v>11.311317018938212</c:v>
                </c:pt>
                <c:pt idx="4">
                  <c:v>10.910542008691721</c:v>
                </c:pt>
                <c:pt idx="5">
                  <c:v>10.451013434563862</c:v>
                </c:pt>
                <c:pt idx="6">
                  <c:v>9.9266936594110291</c:v>
                </c:pt>
                <c:pt idx="7">
                  <c:v>9.3316119739007632</c:v>
                </c:pt>
                <c:pt idx="8">
                  <c:v>8.6600618820229727</c:v>
                </c:pt>
                <c:pt idx="9">
                  <c:v>7.9068513160334106</c:v>
                </c:pt>
                <c:pt idx="10">
                  <c:v>7.0676411905334362</c:v>
                </c:pt>
                <c:pt idx="11">
                  <c:v>6.1394490886858364</c:v>
                </c:pt>
                <c:pt idx="12">
                  <c:v>5.121470090863852</c:v>
                </c:pt>
                <c:pt idx="13">
                  <c:v>4.0164930734973012</c:v>
                </c:pt>
                <c:pt idx="14">
                  <c:v>2.8333768536543289</c:v>
                </c:pt>
                <c:pt idx="15">
                  <c:v>1.5912389427745381</c:v>
                </c:pt>
                <c:pt idx="16">
                  <c:v>0.32589168769696641</c:v>
                </c:pt>
                <c:pt idx="17">
                  <c:v>-0.90232315382262129</c:v>
                </c:pt>
                <c:pt idx="18">
                  <c:v>-2.0045219315006193</c:v>
                </c:pt>
                <c:pt idx="19">
                  <c:v>-2.875140824721484</c:v>
                </c:pt>
                <c:pt idx="20">
                  <c:v>-3.4295225185620097</c:v>
                </c:pt>
                <c:pt idx="21">
                  <c:v>-3.6493049619247699</c:v>
                </c:pt>
                <c:pt idx="22">
                  <c:v>-3.5917644879030775</c:v>
                </c:pt>
                <c:pt idx="23">
                  <c:v>-3.3524858362284391</c:v>
                </c:pt>
                <c:pt idx="24">
                  <c:v>-3.0211179886879052</c:v>
                </c:pt>
                <c:pt idx="25">
                  <c:v>-2.6609577782974867</c:v>
                </c:pt>
                <c:pt idx="26">
                  <c:v>-2.3092222960207494</c:v>
                </c:pt>
                <c:pt idx="27">
                  <c:v>-1.9846392606506242</c:v>
                </c:pt>
                <c:pt idx="28">
                  <c:v>-1.6947475641379413</c:v>
                </c:pt>
                <c:pt idx="29">
                  <c:v>-1.4409385591605144</c:v>
                </c:pt>
                <c:pt idx="30">
                  <c:v>-1.221498931756301</c:v>
                </c:pt>
                <c:pt idx="31">
                  <c:v>-1.033325227611968</c:v>
                </c:pt>
                <c:pt idx="32">
                  <c:v>-0.87284718101705039</c:v>
                </c:pt>
                <c:pt idx="33">
                  <c:v>-0.73650307952034666</c:v>
                </c:pt>
                <c:pt idx="34">
                  <c:v>-0.6209682828519334</c:v>
                </c:pt>
                <c:pt idx="35">
                  <c:v>-0.5232504081797984</c:v>
                </c:pt>
                <c:pt idx="36">
                  <c:v>-0.44071419027596903</c:v>
                </c:pt>
                <c:pt idx="37">
                  <c:v>-0.37107069951004235</c:v>
                </c:pt>
                <c:pt idx="38">
                  <c:v>-0.31234987018461169</c:v>
                </c:pt>
                <c:pt idx="39">
                  <c:v>-0.26286657432191873</c:v>
                </c:pt>
                <c:pt idx="40">
                  <c:v>-0.22118564298808963</c:v>
                </c:pt>
                <c:pt idx="41">
                  <c:v>-0.18608855924029655</c:v>
                </c:pt>
                <c:pt idx="42">
                  <c:v>-0.15654306972235332</c:v>
                </c:pt>
                <c:pt idx="43">
                  <c:v>-0.13167615732680815</c:v>
                </c:pt>
                <c:pt idx="44">
                  <c:v>-0.1107503904844549</c:v>
                </c:pt>
                <c:pt idx="45">
                  <c:v>-9.3143449950552792E-2</c:v>
                </c:pt>
                <c:pt idx="46">
                  <c:v>-7.8330537752741236E-2</c:v>
                </c:pt>
                <c:pt idx="47">
                  <c:v>-6.5869341956997118E-2</c:v>
                </c:pt>
                <c:pt idx="48">
                  <c:v>-5.5387234698855536E-2</c:v>
                </c:pt>
                <c:pt idx="49">
                  <c:v>-4.6570402204487493E-2</c:v>
                </c:pt>
                <c:pt idx="50">
                  <c:v>-3.9154634500768282E-2</c:v>
                </c:pt>
                <c:pt idx="51">
                  <c:v>-3.2917533743955119E-2</c:v>
                </c:pt>
                <c:pt idx="52">
                  <c:v>-2.7671930658591748E-2</c:v>
                </c:pt>
                <c:pt idx="53">
                  <c:v>-2.3260327000734549E-2</c:v>
                </c:pt>
                <c:pt idx="54">
                  <c:v>-1.955020760125592E-2</c:v>
                </c:pt>
                <c:pt idx="55">
                  <c:v>-1.6430088230819706E-2</c:v>
                </c:pt>
                <c:pt idx="56">
                  <c:v>-1.3806185339227284E-2</c:v>
                </c:pt>
                <c:pt idx="57">
                  <c:v>-1.1599610862006671E-2</c:v>
                </c:pt>
                <c:pt idx="58">
                  <c:v>-9.7440100207712987E-3</c:v>
                </c:pt>
                <c:pt idx="59">
                  <c:v>-8.1835726469350334E-3</c:v>
                </c:pt>
                <c:pt idx="60">
                  <c:v>-6.8713593001596962E-3</c:v>
                </c:pt>
                <c:pt idx="61">
                  <c:v>-5.7678925827389094E-3</c:v>
                </c:pt>
                <c:pt idx="62">
                  <c:v>-4.8399717954197286E-3</c:v>
                </c:pt>
                <c:pt idx="63">
                  <c:v>-4.0596756368032061E-3</c:v>
                </c:pt>
                <c:pt idx="64">
                  <c:v>-3.4035231942155519E-3</c:v>
                </c:pt>
                <c:pt idx="65">
                  <c:v>-2.8517681579707244E-3</c:v>
                </c:pt>
                <c:pt idx="66">
                  <c:v>-2.3878051455277216E-3</c:v>
                </c:pt>
                <c:pt idx="67">
                  <c:v>-1.997670357420489E-3</c:v>
                </c:pt>
                <c:pt idx="68">
                  <c:v>-1.6696215990616992E-3</c:v>
                </c:pt>
                <c:pt idx="69">
                  <c:v>-1.3937850724623502E-3</c:v>
                </c:pt>
                <c:pt idx="70">
                  <c:v>-1.1618583387384973E-3</c:v>
                </c:pt>
                <c:pt idx="71">
                  <c:v>-9.66860533864633E-4</c:v>
                </c:pt>
                <c:pt idx="72">
                  <c:v>-8.0292233664458479E-4</c:v>
                </c:pt>
                <c:pt idx="73">
                  <c:v>-6.6510938082409155E-4</c:v>
                </c:pt>
                <c:pt idx="74">
                  <c:v>-5.492738080228321E-4</c:v>
                </c:pt>
                <c:pt idx="75">
                  <c:v>-4.5192950532513265E-4</c:v>
                </c:pt>
                <c:pt idx="76">
                  <c:v>-3.7014728594852997E-4</c:v>
                </c:pt>
                <c:pt idx="77">
                  <c:v>-3.0146687580001608E-4</c:v>
                </c:pt>
                <c:pt idx="78">
                  <c:v>-2.4382308184800472E-4</c:v>
                </c:pt>
                <c:pt idx="79">
                  <c:v>-1.9548395724822143E-4</c:v>
                </c:pt>
                <c:pt idx="80">
                  <c:v>-1.5499915925420993E-4</c:v>
                </c:pt>
                <c:pt idx="81">
                  <c:v>-1.2115703580395376E-4</c:v>
                </c:pt>
                <c:pt idx="82">
                  <c:v>-9.2949294963062812E-5</c:v>
                </c:pt>
                <c:pt idx="83">
                  <c:v>-6.9542435121583424E-5</c:v>
                </c:pt>
                <c:pt idx="84">
                  <c:v>-5.0255485943395684E-5</c:v>
                </c:pt>
                <c:pt idx="85">
                  <c:v>-3.4544107300860105E-5</c:v>
                </c:pt>
                <c:pt idx="86">
                  <c:v>-2.1991865974513303E-5</c:v>
                </c:pt>
                <c:pt idx="87">
                  <c:v>-1.2310872383736182E-5</c:v>
                </c:pt>
                <c:pt idx="88">
                  <c:v>-5.3566180966413413E-6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0-4554-B3A9-2BD50165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09295"/>
        <c:axId val="1"/>
      </c:scatterChart>
      <c:valAx>
        <c:axId val="165940929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2009697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68670571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09295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062021788350597"/>
          <c:y val="0.92325199839703032"/>
          <c:w val="0.49797502576201513"/>
          <c:h val="5.05634968696142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HK"/>
        </a:p>
      </c:txPr>
    </c:legend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9830096793659"/>
          <c:y val="0.21798043052563509"/>
          <c:w val="0.69828338282724045"/>
          <c:h val="0.63673231021961829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notch!$AJ$1:$AK$1</c:f>
              <c:numCache>
                <c:formatCode>0.00000000000000</c:formatCode>
                <c:ptCount val="2"/>
                <c:pt idx="0">
                  <c:v>0.93070422226605498</c:v>
                </c:pt>
                <c:pt idx="1">
                  <c:v>0.93070422226605498</c:v>
                </c:pt>
              </c:numCache>
            </c:numRef>
          </c:xVal>
          <c:yVal>
            <c:numRef>
              <c:f>notch!$AJ$2:$AK$2</c:f>
              <c:numCache>
                <c:formatCode>0.00000000000000</c:formatCode>
                <c:ptCount val="2"/>
                <c:pt idx="0">
                  <c:v>0.10611369034991493</c:v>
                </c:pt>
                <c:pt idx="1">
                  <c:v>-0.10611369034991493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1-4018-9C6F-A4DE5CAC0DA5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notch!$AJ$4:$AK$4</c:f>
              <c:numCache>
                <c:formatCode>0.00000000000000</c:formatCode>
                <c:ptCount val="2"/>
                <c:pt idx="0">
                  <c:v>0.99144486137381038</c:v>
                </c:pt>
                <c:pt idx="1">
                  <c:v>0.99144486137381038</c:v>
                </c:pt>
              </c:numCache>
            </c:numRef>
          </c:xVal>
          <c:yVal>
            <c:numRef>
              <c:f>notch!$AJ$5:$AK$5</c:f>
              <c:numCache>
                <c:formatCode>0.00000000000000</c:formatCode>
                <c:ptCount val="2"/>
                <c:pt idx="0">
                  <c:v>0.13052619222005171</c:v>
                </c:pt>
                <c:pt idx="1">
                  <c:v>-0.13052619222005171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1-4018-9C6F-A4DE5CAC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12623"/>
        <c:axId val="1"/>
      </c:scatterChart>
      <c:valAx>
        <c:axId val="1659412623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12623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Phase response</a:t>
            </a:r>
          </a:p>
        </c:rich>
      </c:tx>
      <c:layout>
        <c:manualLayout>
          <c:xMode val="edge"/>
          <c:yMode val="edge"/>
          <c:x val="0.38047207040296432"/>
          <c:y val="2.9288728411710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7077551923509"/>
          <c:y val="0.20559537214509166"/>
          <c:w val="0.73541281851064466"/>
          <c:h val="0.57686468495079113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APF!$S$8:$S$97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APF!$X$8:$X$97</c:f>
              <c:numCache>
                <c:formatCode>General</c:formatCode>
                <c:ptCount val="90"/>
                <c:pt idx="0">
                  <c:v>-2.2884719760391015</c:v>
                </c:pt>
                <c:pt idx="1">
                  <c:v>-2.4955807601790503</c:v>
                </c:pt>
                <c:pt idx="2">
                  <c:v>-2.7214298529675407</c:v>
                </c:pt>
                <c:pt idx="3">
                  <c:v>-2.9677140208331232</c:v>
                </c:pt>
                <c:pt idx="4">
                  <c:v>-3.236281011243376</c:v>
                </c:pt>
                <c:pt idx="5">
                  <c:v>-3.5291452775142016</c:v>
                </c:pt>
                <c:pt idx="6">
                  <c:v>-3.8485029098991976</c:v>
                </c:pt>
                <c:pt idx="7">
                  <c:v>-4.1967478714974913</c:v>
                </c:pt>
                <c:pt idx="8">
                  <c:v>-4.5764896432912421</c:v>
                </c:pt>
                <c:pt idx="9">
                  <c:v>-4.9905723879926684</c:v>
                </c:pt>
                <c:pt idx="10">
                  <c:v>-5.4420957470366913</c:v>
                </c:pt>
                <c:pt idx="11">
                  <c:v>-5.9344373885847261</c:v>
                </c:pt>
                <c:pt idx="12">
                  <c:v>-6.4712774262546215</c:v>
                </c:pt>
                <c:pt idx="13">
                  <c:v>-7.0566248277314072</c:v>
                </c:pt>
                <c:pt idx="14">
                  <c:v>-7.6948459284754334</c:v>
                </c:pt>
                <c:pt idx="15">
                  <c:v>-8.3906951571765305</c:v>
                </c:pt>
                <c:pt idx="16">
                  <c:v>-9.1493480647556424</c:v>
                </c:pt>
                <c:pt idx="17">
                  <c:v>-9.9764367254740698</c:v>
                </c:pt>
                <c:pt idx="18">
                  <c:v>-10.878087544326194</c:v>
                </c:pt>
                <c:pt idx="19">
                  <c:v>-11.860961455862313</c:v>
                </c:pt>
                <c:pt idx="20">
                  <c:v>-12.932296431427817</c:v>
                </c:pt>
                <c:pt idx="21">
                  <c:v>-14.099952118840482</c:v>
                </c:pt>
                <c:pt idx="22">
                  <c:v>-15.372456313616318</c:v>
                </c:pt>
                <c:pt idx="23">
                  <c:v>-16.759052795089598</c:v>
                </c:pt>
                <c:pt idx="24">
                  <c:v>-18.269749843145142</c:v>
                </c:pt>
                <c:pt idx="25">
                  <c:v>-19.915368468397524</c:v>
                </c:pt>
                <c:pt idx="26">
                  <c:v>-21.707589024431783</c:v>
                </c:pt>
                <c:pt idx="27">
                  <c:v>-23.658994406319998</c:v>
                </c:pt>
                <c:pt idx="28">
                  <c:v>-25.783107453598156</c:v>
                </c:pt>
                <c:pt idx="29">
                  <c:v>-28.094419444839129</c:v>
                </c:pt>
                <c:pt idx="30">
                  <c:v>-30.608405671093408</c:v>
                </c:pt>
                <c:pt idx="31">
                  <c:v>-33.341522985335487</c:v>
                </c:pt>
                <c:pt idx="32">
                  <c:v>-36.311182930351038</c:v>
                </c:pt>
                <c:pt idx="33">
                  <c:v>-39.535692548509445</c:v>
                </c:pt>
                <c:pt idx="34">
                  <c:v>-43.034153299780463</c:v>
                </c:pt>
                <c:pt idx="35">
                  <c:v>-46.826306727354257</c:v>
                </c:pt>
                <c:pt idx="36">
                  <c:v>-50.932313745105255</c:v>
                </c:pt>
                <c:pt idx="37">
                  <c:v>-55.372452900644362</c:v>
                </c:pt>
                <c:pt idx="38">
                  <c:v>-60.166722036492793</c:v>
                </c:pt>
                <c:pt idx="39">
                  <c:v>-65.334327926277567</c:v>
                </c:pt>
                <c:pt idx="40">
                  <c:v>-70.893050368887344</c:v>
                </c:pt>
                <c:pt idx="41">
                  <c:v>-76.858471705839847</c:v>
                </c:pt>
                <c:pt idx="42">
                  <c:v>-83.243070702781267</c:v>
                </c:pt>
                <c:pt idx="43">
                  <c:v>-90.055192060951597</c:v>
                </c:pt>
                <c:pt idx="44">
                  <c:v>-97.297920022752308</c:v>
                </c:pt>
                <c:pt idx="45">
                  <c:v>-104.96790640179668</c:v>
                </c:pt>
                <c:pt idx="46">
                  <c:v>-113.05422848167336</c:v>
                </c:pt>
                <c:pt idx="47">
                  <c:v>-121.53737750292738</c:v>
                </c:pt>
                <c:pt idx="48">
                  <c:v>-130.38849895045934</c:v>
                </c:pt>
                <c:pt idx="49">
                  <c:v>-139.56901512697357</c:v>
                </c:pt>
                <c:pt idx="50">
                  <c:v>-149.03075180784901</c:v>
                </c:pt>
                <c:pt idx="51">
                  <c:v>-158.71665910187889</c:v>
                </c:pt>
                <c:pt idx="52">
                  <c:v>-168.56216117573337</c:v>
                </c:pt>
                <c:pt idx="53">
                  <c:v>-178.4970956193286</c:v>
                </c:pt>
                <c:pt idx="54">
                  <c:v>-188.44812285405635</c:v>
                </c:pt>
                <c:pt idx="55">
                  <c:v>-198.34141543351478</c:v>
                </c:pt>
                <c:pt idx="56">
                  <c:v>-208.10539264307525</c:v>
                </c:pt>
                <c:pt idx="57">
                  <c:v>-217.6732584756177</c:v>
                </c:pt>
                <c:pt idx="58">
                  <c:v>-226.98513271083618</c:v>
                </c:pt>
                <c:pt idx="59">
                  <c:v>-235.98962750454916</c:v>
                </c:pt>
                <c:pt idx="60">
                  <c:v>-244.64480067290665</c:v>
                </c:pt>
                <c:pt idx="61">
                  <c:v>-252.9184948267318</c:v>
                </c:pt>
                <c:pt idx="62">
                  <c:v>-260.78813474902552</c:v>
                </c:pt>
                <c:pt idx="63">
                  <c:v>-268.24009604648137</c:v>
                </c:pt>
                <c:pt idx="64">
                  <c:v>-275.26877484972272</c:v>
                </c:pt>
                <c:pt idx="65">
                  <c:v>-281.87548494606102</c:v>
                </c:pt>
                <c:pt idx="66">
                  <c:v>-288.06729158754081</c:v>
                </c:pt>
                <c:pt idx="67">
                  <c:v>-293.8558670634232</c:v>
                </c:pt>
                <c:pt idx="68">
                  <c:v>-299.25642753712305</c:v>
                </c:pt>
                <c:pt idx="69">
                  <c:v>-304.2867873961863</c:v>
                </c:pt>
                <c:pt idx="70">
                  <c:v>-308.96654844323251</c:v>
                </c:pt>
                <c:pt idx="71">
                  <c:v>-313.31642726627683</c:v>
                </c:pt>
                <c:pt idx="72">
                  <c:v>-317.35771476920945</c:v>
                </c:pt>
                <c:pt idx="73">
                  <c:v>-321.11185635791884</c:v>
                </c:pt>
                <c:pt idx="74">
                  <c:v>-324.60013876475045</c:v>
                </c:pt>
                <c:pt idx="75">
                  <c:v>-327.84346910989751</c:v>
                </c:pt>
                <c:pt idx="76">
                  <c:v>-330.862232853715</c:v>
                </c:pt>
                <c:pt idx="77">
                  <c:v>-333.67621928843482</c:v>
                </c:pt>
                <c:pt idx="78">
                  <c:v>-336.30460583952203</c:v>
                </c:pt>
                <c:pt idx="79">
                  <c:v>-338.7659955597282</c:v>
                </c:pt>
                <c:pt idx="80">
                  <c:v>-341.07850582988249</c:v>
                </c:pt>
                <c:pt idx="81">
                  <c:v>-343.25991061051536</c:v>
                </c:pt>
                <c:pt idx="82">
                  <c:v>-345.32784392164456</c:v>
                </c:pt>
                <c:pt idx="83">
                  <c:v>-347.30007882367642</c:v>
                </c:pt>
                <c:pt idx="84">
                  <c:v>-349.19490344051309</c:v>
                </c:pt>
                <c:pt idx="85">
                  <c:v>-351.03161836368747</c:v>
                </c:pt>
                <c:pt idx="86">
                  <c:v>-352.83115002407305</c:v>
                </c:pt>
                <c:pt idx="87">
                  <c:v>-354.61655171522773</c:v>
                </c:pt>
                <c:pt idx="88">
                  <c:v>-356.41153842796081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A-48A9-92A7-3F241208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202527"/>
        <c:axId val="1"/>
      </c:scatterChart>
      <c:valAx>
        <c:axId val="1493202527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64423369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"/>
          <c:min val="-36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398964632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493202527"/>
        <c:crossesAt val="0"/>
        <c:crossBetween val="midCat"/>
        <c:majorUnit val="60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1" r="0.75000000000000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Group delay</a:t>
            </a:r>
          </a:p>
        </c:rich>
      </c:tx>
      <c:layout>
        <c:manualLayout>
          <c:xMode val="edge"/>
          <c:yMode val="edge"/>
          <c:x val="0.38047207040296432"/>
          <c:y val="2.9288728411710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7966759655237"/>
          <c:y val="0.19048264575093429"/>
          <c:w val="0.75002321902043467"/>
          <c:h val="0.6228782516055551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APF!$S$8:$S$97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APF!$Y$9:$Y$96</c:f>
              <c:numCache>
                <c:formatCode>General</c:formatCode>
                <c:ptCount val="88"/>
                <c:pt idx="0">
                  <c:v>643.44442440283433</c:v>
                </c:pt>
                <c:pt idx="1">
                  <c:v>643.42990763149453</c:v>
                </c:pt>
                <c:pt idx="2">
                  <c:v>643.41264504604123</c:v>
                </c:pt>
                <c:pt idx="3">
                  <c:v>643.39211747597903</c:v>
                </c:pt>
                <c:pt idx="4">
                  <c:v>643.36770766795257</c:v>
                </c:pt>
                <c:pt idx="5">
                  <c:v>643.33868178886155</c:v>
                </c:pt>
                <c:pt idx="6">
                  <c:v>643.30416745467812</c:v>
                </c:pt>
                <c:pt idx="7">
                  <c:v>643.26312763792953</c:v>
                </c:pt>
                <c:pt idx="8">
                  <c:v>643.21432968885335</c:v>
                </c:pt>
                <c:pt idx="9">
                  <c:v>643.15630856657526</c:v>
                </c:pt>
                <c:pt idx="10">
                  <c:v>643.08732321406444</c:v>
                </c:pt>
                <c:pt idx="11">
                  <c:v>643.00530482190959</c:v>
                </c:pt>
                <c:pt idx="12">
                  <c:v>642.90779550427624</c:v>
                </c:pt>
                <c:pt idx="13">
                  <c:v>642.79187565614734</c:v>
                </c:pt>
                <c:pt idx="14">
                  <c:v>642.65407796716863</c:v>
                </c:pt>
                <c:pt idx="15">
                  <c:v>642.49028573228065</c:v>
                </c:pt>
                <c:pt idx="16">
                  <c:v>642.29561271995294</c:v>
                </c:pt>
                <c:pt idx="17">
                  <c:v>642.06426143497447</c:v>
                </c:pt>
                <c:pt idx="18">
                  <c:v>641.78935614777629</c:v>
                </c:pt>
                <c:pt idx="19">
                  <c:v>641.46274656060655</c:v>
                </c:pt>
                <c:pt idx="20">
                  <c:v>641.07477745968868</c:v>
                </c:pt>
                <c:pt idx="21">
                  <c:v>640.61401918578883</c:v>
                </c:pt>
                <c:pt idx="22">
                  <c:v>640.06695328114768</c:v>
                </c:pt>
                <c:pt idx="23">
                  <c:v>639.41760730345538</c:v>
                </c:pt>
                <c:pt idx="24">
                  <c:v>638.64713262801729</c:v>
                </c:pt>
                <c:pt idx="25">
                  <c:v>637.73331921885028</c:v>
                </c:pt>
                <c:pt idx="26">
                  <c:v>636.65004202994783</c:v>
                </c:pt>
                <c:pt idx="27">
                  <c:v>635.36663515776036</c:v>
                </c:pt>
                <c:pt idx="28">
                  <c:v>633.84719245999804</c:v>
                </c:pt>
                <c:pt idx="29">
                  <c:v>632.04979754712576</c:v>
                </c:pt>
                <c:pt idx="30">
                  <c:v>629.92569243884304</c:v>
                </c:pt>
                <c:pt idx="31">
                  <c:v>627.41840349030633</c:v>
                </c:pt>
                <c:pt idx="32">
                  <c:v>624.46285628350745</c:v>
                </c:pt>
                <c:pt idx="33">
                  <c:v>620.98452897232289</c:v>
                </c:pt>
                <c:pt idx="34">
                  <c:v>616.8987169202702</c:v>
                </c:pt>
                <c:pt idx="35">
                  <c:v>612.11001093850234</c:v>
                </c:pt>
                <c:pt idx="36">
                  <c:v>606.51212688815326</c:v>
                </c:pt>
                <c:pt idx="37">
                  <c:v>599.98826443451617</c:v>
                </c:pt>
                <c:pt idx="38">
                  <c:v>592.41221381576372</c:v>
                </c:pt>
                <c:pt idx="39">
                  <c:v>583.65046500767323</c:v>
                </c:pt>
                <c:pt idx="40">
                  <c:v>573.56559296551859</c:v>
                </c:pt>
                <c:pt idx="41">
                  <c:v>562.02118042934353</c:v>
                </c:pt>
                <c:pt idx="42">
                  <c:v>548.88847675474904</c:v>
                </c:pt>
                <c:pt idx="43">
                  <c:v>534.05485661048897</c:v>
                </c:pt>
                <c:pt idx="44">
                  <c:v>517.43391962854628</c:v>
                </c:pt>
                <c:pt idx="45">
                  <c:v>498.97675803925119</c:v>
                </c:pt>
                <c:pt idx="46">
                  <c:v>478.68353573893762</c:v>
                </c:pt>
                <c:pt idx="47">
                  <c:v>456.61412619602675</c:v>
                </c:pt>
                <c:pt idx="48">
                  <c:v>432.89624329673086</c:v>
                </c:pt>
                <c:pt idx="49">
                  <c:v>407.72938956187966</c:v>
                </c:pt>
                <c:pt idx="50">
                  <c:v>381.38315440985338</c:v>
                </c:pt>
                <c:pt idx="51">
                  <c:v>354.18898084454435</c:v>
                </c:pt>
                <c:pt idx="52">
                  <c:v>326.52543975082637</c:v>
                </c:pt>
                <c:pt idx="53">
                  <c:v>298.79814225636289</c:v>
                </c:pt>
                <c:pt idx="54">
                  <c:v>271.41642397139714</c:v>
                </c:pt>
                <c:pt idx="55">
                  <c:v>244.76957674263113</c:v>
                </c:pt>
                <c:pt idx="56">
                  <c:v>219.20549550192254</c:v>
                </c:pt>
                <c:pt idx="57">
                  <c:v>195.01412217983497</c:v>
                </c:pt>
                <c:pt idx="58">
                  <c:v>172.41714989292166</c:v>
                </c:pt>
                <c:pt idx="59">
                  <c:v>151.56435648947564</c:v>
                </c:pt>
                <c:pt idx="60">
                  <c:v>132.53594026571994</c:v>
                </c:pt>
                <c:pt idx="61">
                  <c:v>115.34953134501643</c:v>
                </c:pt>
                <c:pt idx="62">
                  <c:v>99.970229719887215</c:v>
                </c:pt>
                <c:pt idx="63">
                  <c:v>86.32204292168251</c:v>
                </c:pt>
                <c:pt idx="64">
                  <c:v>74.299359872908255</c:v>
                </c:pt>
                <c:pt idx="65">
                  <c:v>63.777479540460128</c:v>
                </c:pt>
                <c:pt idx="66">
                  <c:v>54.621608241302937</c:v>
                </c:pt>
                <c:pt idx="67">
                  <c:v>46.694078751406551</c:v>
                </c:pt>
                <c:pt idx="68">
                  <c:v>39.859795947877828</c:v>
                </c:pt>
                <c:pt idx="69">
                  <c:v>33.990074284358876</c:v>
                </c:pt>
                <c:pt idx="70">
                  <c:v>28.965115471149133</c:v>
                </c:pt>
                <c:pt idx="71">
                  <c:v>24.675400518367258</c:v>
                </c:pt>
                <c:pt idx="72">
                  <c:v>21.02225897813776</c:v>
                </c:pt>
                <c:pt idx="73">
                  <c:v>17.9178464575613</c:v>
                </c:pt>
                <c:pt idx="74">
                  <c:v>15.284721342150323</c:v>
                </c:pt>
                <c:pt idx="75">
                  <c:v>13.05517094778533</c:v>
                </c:pt>
                <c:pt idx="76">
                  <c:v>11.170400388630553</c:v>
                </c:pt>
                <c:pt idx="77">
                  <c:v>9.5796663012592855</c:v>
                </c:pt>
                <c:pt idx="78">
                  <c:v>8.2394126809546702</c:v>
                </c:pt>
                <c:pt idx="79">
                  <c:v>7.1124470808531131</c:v>
                </c:pt>
                <c:pt idx="80">
                  <c:v>6.1671814509677363</c:v>
                </c:pt>
                <c:pt idx="81">
                  <c:v>5.3769517330643417</c:v>
                </c:pt>
                <c:pt idx="82">
                  <c:v>4.7194218355468021</c:v>
                </c:pt>
                <c:pt idx="83">
                  <c:v>4.1760649009555806</c:v>
                </c:pt>
                <c:pt idx="84">
                  <c:v>3.7316746165764063</c:v>
                </c:pt>
                <c:pt idx="85">
                  <c:v>3.3736713943306755</c:v>
                </c:pt>
                <c:pt idx="86">
                  <c:v>3.0897481804503384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6-48EE-99B2-3985AD1E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38975"/>
        <c:axId val="1"/>
      </c:scatterChart>
      <c:valAx>
        <c:axId val="165853897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64423369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delay µsec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398964632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538975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122" r="0.75000000000000122" t="1" header="0.51180555555555562" footer="0.51180555555555562"/>
    <c:pageSetup firstPageNumber="0"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029839419072"/>
          <c:y val="0.22114210824806055"/>
          <c:w val="0.70059834535516607"/>
          <c:h val="0.63015715801659733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APF!$AH$1:$AI$1</c:f>
              <c:numCache>
                <c:formatCode>0.00000000000000</c:formatCode>
                <c:ptCount val="2"/>
                <c:pt idx="0">
                  <c:v>0.876976462992755</c:v>
                </c:pt>
                <c:pt idx="1">
                  <c:v>0.876976462992755</c:v>
                </c:pt>
              </c:numCache>
            </c:numRef>
          </c:xVal>
          <c:yVal>
            <c:numRef>
              <c:f>APF!$AH$2:$AI$2</c:f>
              <c:numCache>
                <c:formatCode>0.00000000000000</c:formatCode>
                <c:ptCount val="2"/>
                <c:pt idx="0">
                  <c:v>8.3632559778703931E-8</c:v>
                </c:pt>
                <c:pt idx="1">
                  <c:v>-8.3632559778703931E-8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0-43BB-AEC2-313C35C7EB92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APF!$AH$4:$AI$4</c:f>
              <c:numCache>
                <c:formatCode>0.00000000000000</c:formatCode>
                <c:ptCount val="2"/>
                <c:pt idx="0">
                  <c:v>0.67447182547300477</c:v>
                </c:pt>
                <c:pt idx="1">
                  <c:v>0.67447182547300477</c:v>
                </c:pt>
              </c:numCache>
            </c:numRef>
          </c:xVal>
          <c:yVal>
            <c:numRef>
              <c:f>APF!$AH$5:$AI$5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0-43BB-AEC2-313C35C7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38143"/>
        <c:axId val="1"/>
      </c:scatterChart>
      <c:valAx>
        <c:axId val="1658538143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538143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18102841633839"/>
          <c:y val="0.20732374740382886"/>
          <c:w val="0.72656068132446616"/>
          <c:h val="0.57522176975768202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APF!$S$8:$S$97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APF!$V$8:$V$97</c:f>
              <c:numCache>
                <c:formatCode>0.00</c:formatCode>
                <c:ptCount val="90"/>
                <c:pt idx="0">
                  <c:v>-4.3272052607790101E-12</c:v>
                </c:pt>
                <c:pt idx="1">
                  <c:v>-4.3343106881366111E-12</c:v>
                </c:pt>
                <c:pt idx="2">
                  <c:v>-4.3272052607790101E-12</c:v>
                </c:pt>
                <c:pt idx="3">
                  <c:v>-4.3272052607790101E-12</c:v>
                </c:pt>
                <c:pt idx="4">
                  <c:v>-4.3272052607790101E-12</c:v>
                </c:pt>
                <c:pt idx="5">
                  <c:v>-4.3343106881366111E-12</c:v>
                </c:pt>
                <c:pt idx="6">
                  <c:v>-4.3272052607790101E-12</c:v>
                </c:pt>
                <c:pt idx="7">
                  <c:v>-4.3272052607790101E-12</c:v>
                </c:pt>
                <c:pt idx="8">
                  <c:v>-4.3272052607790101E-12</c:v>
                </c:pt>
                <c:pt idx="9">
                  <c:v>-4.3200998334214091E-12</c:v>
                </c:pt>
                <c:pt idx="10">
                  <c:v>-4.3200998334214091E-12</c:v>
                </c:pt>
                <c:pt idx="11">
                  <c:v>-4.3272052607790101E-12</c:v>
                </c:pt>
                <c:pt idx="12">
                  <c:v>-4.3200998334214091E-12</c:v>
                </c:pt>
                <c:pt idx="13">
                  <c:v>-4.3200998334214091E-12</c:v>
                </c:pt>
                <c:pt idx="14">
                  <c:v>-4.3200998334214091E-12</c:v>
                </c:pt>
                <c:pt idx="15">
                  <c:v>-4.3129944060638081E-12</c:v>
                </c:pt>
                <c:pt idx="16">
                  <c:v>-4.3129944060638081E-12</c:v>
                </c:pt>
                <c:pt idx="17">
                  <c:v>-4.2987835513486061E-12</c:v>
                </c:pt>
                <c:pt idx="18">
                  <c:v>-4.2987835513486061E-12</c:v>
                </c:pt>
                <c:pt idx="19">
                  <c:v>-4.2987835513486061E-12</c:v>
                </c:pt>
                <c:pt idx="20">
                  <c:v>-4.2845726966334041E-12</c:v>
                </c:pt>
                <c:pt idx="21">
                  <c:v>-4.2845726966334041E-12</c:v>
                </c:pt>
                <c:pt idx="22">
                  <c:v>-4.2703618419182021E-12</c:v>
                </c:pt>
                <c:pt idx="23">
                  <c:v>-4.2561509872030001E-12</c:v>
                </c:pt>
                <c:pt idx="24">
                  <c:v>-4.2419401324877981E-12</c:v>
                </c:pt>
                <c:pt idx="25">
                  <c:v>-4.2348347051301971E-12</c:v>
                </c:pt>
                <c:pt idx="26">
                  <c:v>-4.2064129956997931E-12</c:v>
                </c:pt>
                <c:pt idx="27">
                  <c:v>-4.1850967136269901E-12</c:v>
                </c:pt>
                <c:pt idx="28">
                  <c:v>-4.1637804315541871E-12</c:v>
                </c:pt>
                <c:pt idx="29">
                  <c:v>-4.1282532947661821E-12</c:v>
                </c:pt>
                <c:pt idx="30">
                  <c:v>-4.0927261579781771E-12</c:v>
                </c:pt>
                <c:pt idx="31">
                  <c:v>-4.0500935938325711E-12</c:v>
                </c:pt>
                <c:pt idx="32">
                  <c:v>-3.993250174971763E-12</c:v>
                </c:pt>
                <c:pt idx="33">
                  <c:v>-3.929301328753354E-12</c:v>
                </c:pt>
                <c:pt idx="34">
                  <c:v>-3.865352482534945E-12</c:v>
                </c:pt>
                <c:pt idx="35">
                  <c:v>-3.780087354243733E-12</c:v>
                </c:pt>
                <c:pt idx="36">
                  <c:v>-3.68771679859492E-12</c:v>
                </c:pt>
                <c:pt idx="37">
                  <c:v>-3.5811353882309049E-12</c:v>
                </c:pt>
                <c:pt idx="38">
                  <c:v>-3.4461322684364859E-12</c:v>
                </c:pt>
                <c:pt idx="39">
                  <c:v>-3.3111291486420669E-12</c:v>
                </c:pt>
                <c:pt idx="40">
                  <c:v>-3.1477043194172438E-12</c:v>
                </c:pt>
                <c:pt idx="41">
                  <c:v>-2.9558577807620168E-12</c:v>
                </c:pt>
                <c:pt idx="42">
                  <c:v>-2.7498003873915877E-12</c:v>
                </c:pt>
                <c:pt idx="43">
                  <c:v>-2.5224267119483557E-12</c:v>
                </c:pt>
                <c:pt idx="44">
                  <c:v>-2.2737367544323206E-12</c:v>
                </c:pt>
                <c:pt idx="45">
                  <c:v>-2.0108359422010835E-12</c:v>
                </c:pt>
                <c:pt idx="46">
                  <c:v>-1.7337242752546445E-12</c:v>
                </c:pt>
                <c:pt idx="47">
                  <c:v>-1.4424017535930034E-12</c:v>
                </c:pt>
                <c:pt idx="48">
                  <c:v>-1.1439738045737613E-12</c:v>
                </c:pt>
                <c:pt idx="49">
                  <c:v>-8.5265128291212022E-13</c:v>
                </c:pt>
                <c:pt idx="50">
                  <c:v>-5.6843418860808015E-13</c:v>
                </c:pt>
                <c:pt idx="51">
                  <c:v>-3.0553337637684308E-13</c:v>
                </c:pt>
                <c:pt idx="52">
                  <c:v>-6.7501559897209518E-14</c:v>
                </c:pt>
                <c:pt idx="53">
                  <c:v>1.4566126083082054E-13</c:v>
                </c:pt>
                <c:pt idx="54">
                  <c:v>3.1974423109204508E-13</c:v>
                </c:pt>
                <c:pt idx="55">
                  <c:v>4.5830006456526462E-13</c:v>
                </c:pt>
                <c:pt idx="56">
                  <c:v>5.5777604757167865E-13</c:v>
                </c:pt>
                <c:pt idx="57">
                  <c:v>6.3238303482648917E-13</c:v>
                </c:pt>
                <c:pt idx="58">
                  <c:v>6.6791017161449417E-13</c:v>
                </c:pt>
                <c:pt idx="59">
                  <c:v>6.7501559897209518E-13</c:v>
                </c:pt>
                <c:pt idx="60">
                  <c:v>6.6435745793569367E-13</c:v>
                </c:pt>
                <c:pt idx="61">
                  <c:v>6.3593574850528967E-13</c:v>
                </c:pt>
                <c:pt idx="62">
                  <c:v>5.9685589803848416E-13</c:v>
                </c:pt>
                <c:pt idx="63">
                  <c:v>5.4711790653527714E-13</c:v>
                </c:pt>
                <c:pt idx="64">
                  <c:v>4.9737991503207013E-13</c:v>
                </c:pt>
                <c:pt idx="65">
                  <c:v>4.4764192352886312E-13</c:v>
                </c:pt>
                <c:pt idx="66">
                  <c:v>3.943512183468556E-13</c:v>
                </c:pt>
                <c:pt idx="67">
                  <c:v>3.4638958368304884E-13</c:v>
                </c:pt>
                <c:pt idx="68">
                  <c:v>3.0198066269804258E-13</c:v>
                </c:pt>
                <c:pt idx="69">
                  <c:v>2.6112445539183682E-13</c:v>
                </c:pt>
                <c:pt idx="70">
                  <c:v>2.2382096176443156E-13</c:v>
                </c:pt>
                <c:pt idx="71">
                  <c:v>1.900701818158268E-13</c:v>
                </c:pt>
                <c:pt idx="72">
                  <c:v>1.5987211554602254E-13</c:v>
                </c:pt>
                <c:pt idx="73">
                  <c:v>1.3500311979441904E-13</c:v>
                </c:pt>
                <c:pt idx="74">
                  <c:v>1.1368683772161603E-13</c:v>
                </c:pt>
                <c:pt idx="75">
                  <c:v>9.4146912488213275E-14</c:v>
                </c:pt>
                <c:pt idx="76">
                  <c:v>7.9491968563161208E-14</c:v>
                </c:pt>
                <c:pt idx="77">
                  <c:v>6.4614980033184111E-14</c:v>
                </c:pt>
                <c:pt idx="78">
                  <c:v>5.3235194030776256E-14</c:v>
                </c:pt>
                <c:pt idx="79">
                  <c:v>4.2188474935755949E-14</c:v>
                </c:pt>
                <c:pt idx="80">
                  <c:v>3.4194869158454821E-14</c:v>
                </c:pt>
                <c:pt idx="81">
                  <c:v>2.708944180085382E-14</c:v>
                </c:pt>
                <c:pt idx="82">
                  <c:v>2.042810365310288E-14</c:v>
                </c:pt>
                <c:pt idx="83">
                  <c:v>1.5987211554602254E-14</c:v>
                </c:pt>
                <c:pt idx="84">
                  <c:v>1.4210854715202004E-14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B-4436-BBEE-19A3B463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39391"/>
        <c:axId val="1"/>
      </c:scatterChart>
      <c:valAx>
        <c:axId val="1658539391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  <c:min val="-6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539391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7512397730578"/>
          <c:y val="0.20774589276939204"/>
          <c:w val="0.84160049903806566"/>
          <c:h val="0.57435629177420156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PeakingEQ!$S$8:$S$97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PeakingEQ!$V$8:$V$97</c:f>
              <c:numCache>
                <c:formatCode>0.00</c:formatCode>
                <c:ptCount val="90"/>
                <c:pt idx="0">
                  <c:v>3.3142186963956988E-3</c:v>
                </c:pt>
                <c:pt idx="1">
                  <c:v>3.9444814924323168E-3</c:v>
                </c:pt>
                <c:pt idx="2">
                  <c:v>4.6953207031705801E-3</c:v>
                </c:pt>
                <c:pt idx="3">
                  <c:v>5.5901031816887325E-3</c:v>
                </c:pt>
                <c:pt idx="4">
                  <c:v>6.6568484596274402E-3</c:v>
                </c:pt>
                <c:pt idx="5">
                  <c:v>7.9292066554543794E-3</c:v>
                </c:pt>
                <c:pt idx="6">
                  <c:v>9.4476630015662977E-3</c:v>
                </c:pt>
                <c:pt idx="7">
                  <c:v>1.1261029906066256E-2</c:v>
                </c:pt>
                <c:pt idx="8">
                  <c:v>1.3428307027375297E-2</c:v>
                </c:pt>
                <c:pt idx="9">
                  <c:v>1.6021016830968904E-2</c:v>
                </c:pt>
                <c:pt idx="10">
                  <c:v>1.9126160751909538E-2</c:v>
                </c:pt>
                <c:pt idx="11">
                  <c:v>2.2849994215988545E-2</c:v>
                </c:pt>
                <c:pt idx="12">
                  <c:v>2.7322894620738225E-2</c:v>
                </c:pt>
                <c:pt idx="13">
                  <c:v>3.2705705986465716E-2</c:v>
                </c:pt>
                <c:pt idx="14">
                  <c:v>3.9198104418446178E-2</c:v>
                </c:pt>
                <c:pt idx="15">
                  <c:v>4.7049766514746238E-2</c:v>
                </c:pt>
                <c:pt idx="16">
                  <c:v>5.6575480969087266E-2</c:v>
                </c:pt>
                <c:pt idx="17">
                  <c:v>6.8175890690369556E-2</c:v>
                </c:pt>
                <c:pt idx="18">
                  <c:v>8.2366402044257825E-2</c:v>
                </c:pt>
                <c:pt idx="19">
                  <c:v>9.9818138970150017E-2</c:v>
                </c:pt>
                <c:pt idx="20">
                  <c:v>0.12141697615567182</c:v>
                </c:pt>
                <c:pt idx="21">
                  <c:v>0.14835021875261845</c:v>
                </c:pt>
                <c:pt idx="22">
                  <c:v>0.18223639844508455</c:v>
                </c:pt>
                <c:pt idx="23">
                  <c:v>0.22532370601862795</c:v>
                </c:pt>
                <c:pt idx="24">
                  <c:v>0.28079999878779915</c:v>
                </c:pt>
                <c:pt idx="25">
                  <c:v>0.35328792050682978</c:v>
                </c:pt>
                <c:pt idx="26">
                  <c:v>0.44965263856830973</c:v>
                </c:pt>
                <c:pt idx="27">
                  <c:v>0.58034312195610482</c:v>
                </c:pt>
                <c:pt idx="28">
                  <c:v>0.76163731284766811</c:v>
                </c:pt>
                <c:pt idx="29">
                  <c:v>1.0193368912304379</c:v>
                </c:pt>
                <c:pt idx="30">
                  <c:v>1.3943309353936257</c:v>
                </c:pt>
                <c:pt idx="31">
                  <c:v>1.9482400828974136</c:v>
                </c:pt>
                <c:pt idx="32">
                  <c:v>2.7552645550656649</c:v>
                </c:pt>
                <c:pt idx="33">
                  <c:v>3.8201496464701847</c:v>
                </c:pt>
                <c:pt idx="34">
                  <c:v>4.7990825672434596</c:v>
                </c:pt>
                <c:pt idx="35">
                  <c:v>4.8884052729053025</c:v>
                </c:pt>
                <c:pt idx="36">
                  <c:v>3.9897804806008565</c:v>
                </c:pt>
                <c:pt idx="37">
                  <c:v>2.9017441220664892</c:v>
                </c:pt>
                <c:pt idx="38">
                  <c:v>2.0519245179496863</c:v>
                </c:pt>
                <c:pt idx="39">
                  <c:v>1.4644299184295946</c:v>
                </c:pt>
                <c:pt idx="40">
                  <c:v>1.0669287531767253</c:v>
                </c:pt>
                <c:pt idx="41">
                  <c:v>0.79461181297072869</c:v>
                </c:pt>
                <c:pt idx="42">
                  <c:v>0.60374668485435024</c:v>
                </c:pt>
                <c:pt idx="43">
                  <c:v>0.46665394674211313</c:v>
                </c:pt>
                <c:pt idx="44">
                  <c:v>0.36589816229732719</c:v>
                </c:pt>
                <c:pt idx="45">
                  <c:v>0.29032296463147134</c:v>
                </c:pt>
                <c:pt idx="46">
                  <c:v>0.23262536074206963</c:v>
                </c:pt>
                <c:pt idx="47">
                  <c:v>0.18790610175924627</c:v>
                </c:pt>
                <c:pt idx="48">
                  <c:v>0.1527985041331803</c:v>
                </c:pt>
                <c:pt idx="49">
                  <c:v>0.12493604735025343</c:v>
                </c:pt>
                <c:pt idx="50">
                  <c:v>0.10262012651249819</c:v>
                </c:pt>
                <c:pt idx="51">
                  <c:v>8.4608092630148235E-2</c:v>
                </c:pt>
                <c:pt idx="52">
                  <c:v>6.9975055621810611E-2</c:v>
                </c:pt>
                <c:pt idx="53">
                  <c:v>5.8021877545243683E-2</c:v>
                </c:pt>
                <c:pt idx="54">
                  <c:v>4.8212692872837692E-2</c:v>
                </c:pt>
                <c:pt idx="55">
                  <c:v>4.0131681372024275E-2</c:v>
                </c:pt>
                <c:pt idx="56">
                  <c:v>3.3452632424491924E-2</c:v>
                </c:pt>
                <c:pt idx="57">
                  <c:v>2.791716015442347E-2</c:v>
                </c:pt>
                <c:pt idx="58">
                  <c:v>2.3318867901490847E-2</c:v>
                </c:pt>
                <c:pt idx="59">
                  <c:v>1.9491669493323371E-2</c:v>
                </c:pt>
                <c:pt idx="60">
                  <c:v>1.6301058785419542E-2</c:v>
                </c:pt>
                <c:pt idx="61">
                  <c:v>1.3637500326275642E-2</c:v>
                </c:pt>
                <c:pt idx="62">
                  <c:v>1.1411366901995734E-2</c:v>
                </c:pt>
                <c:pt idx="63">
                  <c:v>9.5490198342815802E-3</c:v>
                </c:pt>
                <c:pt idx="64">
                  <c:v>7.9897439028293604E-3</c:v>
                </c:pt>
                <c:pt idx="65">
                  <c:v>6.6833288806300573E-3</c:v>
                </c:pt>
                <c:pt idx="66">
                  <c:v>5.5881456884137037E-3</c:v>
                </c:pt>
                <c:pt idx="67">
                  <c:v>4.6696048074590379E-3</c:v>
                </c:pt>
                <c:pt idx="68">
                  <c:v>3.8989129508184561E-3</c:v>
                </c:pt>
                <c:pt idx="69">
                  <c:v>3.2520645151787875E-3</c:v>
                </c:pt>
                <c:pt idx="70">
                  <c:v>2.7090193468115586E-3</c:v>
                </c:pt>
                <c:pt idx="71">
                  <c:v>2.2530294527385308E-3</c:v>
                </c:pt>
                <c:pt idx="72">
                  <c:v>1.87008557866708E-3</c:v>
                </c:pt>
                <c:pt idx="73">
                  <c:v>1.5484608319322746E-3</c:v>
                </c:pt>
                <c:pt idx="74">
                  <c:v>1.2783332974377615E-3</c:v>
                </c:pt>
                <c:pt idx="75">
                  <c:v>1.0514732666875304E-3</c:v>
                </c:pt>
                <c:pt idx="76">
                  <c:v>8.6098355515340508E-4</c:v>
                </c:pt>
                <c:pt idx="77">
                  <c:v>7.0108362608700681E-4</c:v>
                </c:pt>
                <c:pt idx="78">
                  <c:v>5.6693002034702289E-4</c:v>
                </c:pt>
                <c:pt idx="79">
                  <c:v>4.5446702633578084E-4</c:v>
                </c:pt>
                <c:pt idx="80">
                  <c:v>3.6030270140985365E-4</c:v>
                </c:pt>
                <c:pt idx="81">
                  <c:v>2.8160635125829003E-4</c:v>
                </c:pt>
                <c:pt idx="82">
                  <c:v>2.1602445815549487E-4</c:v>
                </c:pt>
                <c:pt idx="83">
                  <c:v>1.6161290322536104E-4</c:v>
                </c:pt>
                <c:pt idx="84">
                  <c:v>1.1678426451844359E-4</c:v>
                </c:pt>
                <c:pt idx="85">
                  <c:v>8.0270178813179882E-5</c:v>
                </c:pt>
                <c:pt idx="86">
                  <c:v>5.1100586118124625E-5</c:v>
                </c:pt>
                <c:pt idx="87">
                  <c:v>2.8604867472026285E-5</c:v>
                </c:pt>
                <c:pt idx="88">
                  <c:v>1.2446082621409005E-5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5-47AF-AF25-81F4769E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86783"/>
        <c:axId val="1"/>
      </c:scatterChart>
      <c:valAx>
        <c:axId val="1659786783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786783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762244230644"/>
          <c:y val="0.21798043052563509"/>
          <c:w val="0.6988632734942527"/>
          <c:h val="0.63673231021961829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PeakingEQ!$AJ$1:$AK$1</c:f>
              <c:numCache>
                <c:formatCode>0.00000000000000</c:formatCode>
                <c:ptCount val="2"/>
                <c:pt idx="0">
                  <c:v>0.99477547874925998</c:v>
                </c:pt>
                <c:pt idx="1">
                  <c:v>0.99477547874925998</c:v>
                </c:pt>
              </c:numCache>
            </c:numRef>
          </c:xVal>
          <c:yVal>
            <c:numRef>
              <c:f>PeakingEQ!$AJ$2:$AK$2</c:f>
              <c:numCache>
                <c:formatCode>0.00000000000000</c:formatCode>
                <c:ptCount val="2"/>
                <c:pt idx="0">
                  <c:v>2.5587252805461824E-2</c:v>
                </c:pt>
                <c:pt idx="1">
                  <c:v>-2.5587252805461824E-2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12-9492-77A21FDDFB48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PeakingEQ!$AJ$4:$AK$4</c:f>
              <c:numCache>
                <c:formatCode>0.00000000000000</c:formatCode>
                <c:ptCount val="2"/>
                <c:pt idx="0">
                  <c:v>0.99100890875422332</c:v>
                </c:pt>
                <c:pt idx="1">
                  <c:v>0.99100890875422332</c:v>
                </c:pt>
              </c:numCache>
            </c:numRef>
          </c:xVal>
          <c:yVal>
            <c:numRef>
              <c:f>PeakingEQ!$AJ$5:$AK$5</c:f>
              <c:numCache>
                <c:formatCode>0.00000000000000</c:formatCode>
                <c:ptCount val="2"/>
                <c:pt idx="0">
                  <c:v>2.4465917166915974E-2</c:v>
                </c:pt>
                <c:pt idx="1">
                  <c:v>-2.4465917166915974E-2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F-4512-9492-77A21FDD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83871"/>
        <c:axId val="1"/>
      </c:scatterChart>
      <c:valAx>
        <c:axId val="1659783871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783871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889909169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189637796886"/>
          <c:y val="0.20200634968689507"/>
          <c:w val="0.83087259070747099"/>
          <c:h val="0.58401835751062736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HPF!$S$8:$S$426</c:f>
              <c:numCache>
                <c:formatCode>#,##0</c:formatCode>
                <c:ptCount val="419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HPF!$V$8:$V$426</c:f>
              <c:numCache>
                <c:formatCode>0.00</c:formatCode>
                <c:ptCount val="419"/>
                <c:pt idx="0">
                  <c:v>-80.025693471386404</c:v>
                </c:pt>
                <c:pt idx="1">
                  <c:v>-78.520706880038603</c:v>
                </c:pt>
                <c:pt idx="2">
                  <c:v>-77.0157511986678</c:v>
                </c:pt>
                <c:pt idx="3">
                  <c:v>-75.510832274004727</c:v>
                </c:pt>
                <c:pt idx="4">
                  <c:v>-74.005957058337117</c:v>
                </c:pt>
                <c:pt idx="5">
                  <c:v>-72.501133818404668</c:v>
                </c:pt>
                <c:pt idx="6">
                  <c:v>-70.996372383701328</c:v>
                </c:pt>
                <c:pt idx="7">
                  <c:v>-69.491684441591403</c:v>
                </c:pt>
                <c:pt idx="8">
                  <c:v>-67.987083888028991</c:v>
                </c:pt>
                <c:pt idx="9">
                  <c:v>-66.482587244303843</c:v>
                </c:pt>
                <c:pt idx="10">
                  <c:v>-64.978214152168817</c:v>
                </c:pt>
                <c:pt idx="11">
                  <c:v>-63.473987961985522</c:v>
                </c:pt>
                <c:pt idx="12">
                  <c:v>-61.96993643121364</c:v>
                </c:pt>
                <c:pt idx="13">
                  <c:v>-60.466092553734406</c:v>
                </c:pt>
                <c:pt idx="14">
                  <c:v>-58.962495544216559</c:v>
                </c:pt>
                <c:pt idx="15">
                  <c:v>-57.459192006087996</c:v>
                </c:pt>
                <c:pt idx="16">
                  <c:v>-55.956237316763854</c:v>
                </c:pt>
                <c:pt idx="17">
                  <c:v>-54.453697269701308</c:v>
                </c:pt>
                <c:pt idx="18">
                  <c:v>-52.951650019708993</c:v>
                </c:pt>
                <c:pt idx="19">
                  <c:v>-51.450188385837585</c:v>
                </c:pt>
                <c:pt idx="20">
                  <c:v>-49.949422575212523</c:v>
                </c:pt>
                <c:pt idx="21">
                  <c:v>-48.449483401409154</c:v>
                </c:pt>
                <c:pt idx="22">
                  <c:v>-46.950526082446991</c:v>
                </c:pt>
                <c:pt idx="23">
                  <c:v>-45.452734716145564</c:v>
                </c:pt>
                <c:pt idx="24">
                  <c:v>-43.956327544286587</c:v>
                </c:pt>
                <c:pt idx="25">
                  <c:v>-42.461563131435902</c:v>
                </c:pt>
                <c:pt idx="26">
                  <c:v>-40.968747598810964</c:v>
                </c:pt>
                <c:pt idx="27">
                  <c:v>-39.478243067291046</c:v>
                </c:pt>
                <c:pt idx="28">
                  <c:v>-37.990477475099652</c:v>
                </c:pt>
                <c:pt idx="29">
                  <c:v>-36.50595594268453</c:v>
                </c:pt>
                <c:pt idx="30">
                  <c:v>-35.025273856783613</c:v>
                </c:pt>
                <c:pt idx="31">
                  <c:v>-33.549131833273634</c:v>
                </c:pt>
                <c:pt idx="32">
                  <c:v>-32.078352688286159</c:v>
                </c:pt>
                <c:pt idx="33">
                  <c:v>-30.613900491510719</c:v>
                </c:pt>
                <c:pt idx="34">
                  <c:v>-29.156901684732688</c:v>
                </c:pt>
                <c:pt idx="35">
                  <c:v>-27.708668110435802</c:v>
                </c:pt>
                <c:pt idx="36">
                  <c:v>-26.270721595841501</c:v>
                </c:pt>
                <c:pt idx="37">
                  <c:v>-24.844819462338393</c:v>
                </c:pt>
                <c:pt idx="38">
                  <c:v>-23.432979965472924</c:v>
                </c:pt>
                <c:pt idx="39">
                  <c:v>-22.037506208227924</c:v>
                </c:pt>
                <c:pt idx="40">
                  <c:v>-20.66100651294807</c:v>
                </c:pt>
                <c:pt idx="41">
                  <c:v>-19.30640860713801</c:v>
                </c:pt>
                <c:pt idx="42">
                  <c:v>-17.976964327549865</c:v>
                </c:pt>
                <c:pt idx="43">
                  <c:v>-16.676240968576515</c:v>
                </c:pt>
                <c:pt idx="44">
                  <c:v>-15.408095037170071</c:v>
                </c:pt>
                <c:pt idx="45">
                  <c:v>-14.176624217750913</c:v>
                </c:pt>
                <c:pt idx="46">
                  <c:v>-12.986094017580371</c:v>
                </c:pt>
                <c:pt idx="47">
                  <c:v>-11.840837063606038</c:v>
                </c:pt>
                <c:pt idx="48">
                  <c:v>-10.745125478759931</c:v>
                </c:pt>
                <c:pt idx="49">
                  <c:v>-9.7030201248023218</c:v>
                </c:pt>
                <c:pt idx="50">
                  <c:v>-8.7182044419744358</c:v>
                </c:pt>
                <c:pt idx="51">
                  <c:v>-7.7938145243463381</c:v>
                </c:pt>
                <c:pt idx="52">
                  <c:v>-6.9322800867440506</c:v>
                </c:pt>
                <c:pt idx="53">
                  <c:v>-6.135192196138842</c:v>
                </c:pt>
                <c:pt idx="54">
                  <c:v>-5.4032123823765659</c:v>
                </c:pt>
                <c:pt idx="55">
                  <c:v>-4.736033856477615</c:v>
                </c:pt>
                <c:pt idx="56">
                  <c:v>-4.1323995759259056</c:v>
                </c:pt>
                <c:pt idx="57">
                  <c:v>-3.5901749378352044</c:v>
                </c:pt>
                <c:pt idx="58">
                  <c:v>-3.1064663793980323</c:v>
                </c:pt>
                <c:pt idx="59">
                  <c:v>-2.6777724075671472</c:v>
                </c:pt>
                <c:pt idx="60">
                  <c:v>-2.3001513382572014</c:v>
                </c:pt>
                <c:pt idx="61">
                  <c:v>-1.9693903884020507</c:v>
                </c:pt>
                <c:pt idx="62">
                  <c:v>-1.6811632191585169</c:v>
                </c:pt>
                <c:pt idx="63">
                  <c:v>-1.4311667169404068</c:v>
                </c:pt>
                <c:pt idx="64">
                  <c:v>-1.2152318166299736</c:v>
                </c:pt>
                <c:pt idx="65">
                  <c:v>-1.0294067982298749</c:v>
                </c:pt>
                <c:pt idx="66">
                  <c:v>-0.87001429578515399</c:v>
                </c:pt>
                <c:pt idx="67">
                  <c:v>-0.73368510282792165</c:v>
                </c:pt>
                <c:pt idx="68">
                  <c:v>-0.61737281082204198</c:v>
                </c:pt>
                <c:pt idx="69">
                  <c:v>-0.51835356246108688</c:v>
                </c:pt>
                <c:pt idx="70">
                  <c:v>-0.43421496272938853</c:v>
                </c:pt>
                <c:pt idx="71">
                  <c:v>-0.36283767224856867</c:v>
                </c:pt>
                <c:pt idx="72">
                  <c:v>-0.30237257039190268</c:v>
                </c:pt>
                <c:pt idx="73">
                  <c:v>-0.25121573053548207</c:v>
                </c:pt>
                <c:pt idx="74">
                  <c:v>-0.20798286264705101</c:v>
                </c:pt>
                <c:pt idx="75">
                  <c:v>-0.17148438118102849</c:v>
                </c:pt>
                <c:pt idx="76">
                  <c:v>-0.14070185792270751</c:v>
                </c:pt>
                <c:pt idx="77">
                  <c:v>-0.11476631525474934</c:v>
                </c:pt>
                <c:pt idx="78">
                  <c:v>-9.2938593727216884E-2</c:v>
                </c:pt>
                <c:pt idx="79">
                  <c:v>-7.4591875043397815E-2</c:v>
                </c:pt>
                <c:pt idx="80">
                  <c:v>-5.9196344609824258E-2</c:v>
                </c:pt>
                <c:pt idx="81">
                  <c:v>-4.6305926171855916E-2</c:v>
                </c:pt>
                <c:pt idx="82">
                  <c:v>-3.5547008195120355E-2</c:v>
                </c:pt>
                <c:pt idx="83">
                  <c:v>-2.6609106517710757E-2</c:v>
                </c:pt>
                <c:pt idx="84">
                  <c:v>-1.9237477881685727E-2</c:v>
                </c:pt>
                <c:pt idx="85">
                  <c:v>-1.3227836753937794E-2</c:v>
                </c:pt>
                <c:pt idx="86">
                  <c:v>-8.4235855411787242E-3</c:v>
                </c:pt>
                <c:pt idx="87">
                  <c:v>-4.7164623609052825E-3</c:v>
                </c:pt>
                <c:pt idx="88">
                  <c:v>-2.0525076814053023E-3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C-4B81-968A-5FFAA55A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99471"/>
        <c:axId val="1"/>
      </c:scatterChart>
      <c:valAx>
        <c:axId val="1658899471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64299870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0"/>
          <c:min val="-6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3974426666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899471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5454415369974"/>
          <c:y val="0.22594023297088633"/>
          <c:w val="0.69652129562723142"/>
          <c:h val="0.62477386160645099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HPF!$AI$1:$AJ$1</c:f>
              <c:numCache>
                <c:formatCode>0.00000000000000</c:formatCode>
                <c:ptCount val="2"/>
                <c:pt idx="0">
                  <c:v>0.876976462992755</c:v>
                </c:pt>
                <c:pt idx="1">
                  <c:v>0.876976462992755</c:v>
                </c:pt>
              </c:numCache>
            </c:numRef>
          </c:xVal>
          <c:yVal>
            <c:numRef>
              <c:f>HPF!$AI$2:$AJ$2</c:f>
              <c:numCache>
                <c:formatCode>0.00000000000000</c:formatCode>
                <c:ptCount val="2"/>
                <c:pt idx="0">
                  <c:v>8.3632559778703931E-8</c:v>
                </c:pt>
                <c:pt idx="1">
                  <c:v>-8.3632559778703931E-8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D95-8C25-C6B7938A1C1B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HPF!$AI$4:$AJ$4</c:f>
              <c:numCache>
                <c:formatCode>0.00000000000000</c:formatCode>
                <c:ptCount val="2"/>
                <c:pt idx="0">
                  <c:v>0.77573846060089691</c:v>
                </c:pt>
                <c:pt idx="1">
                  <c:v>0.77573846060089691</c:v>
                </c:pt>
              </c:numCache>
            </c:numRef>
          </c:xVal>
          <c:yVal>
            <c:numRef>
              <c:f>HPF!$AI$5:$AJ$5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D95-8C25-C6B7938A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05295"/>
        <c:axId val="1"/>
      </c:scatterChart>
      <c:valAx>
        <c:axId val="1658905295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905295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310751677959"/>
          <c:y val="0.20774589276939204"/>
          <c:w val="0.8378916558389341"/>
          <c:h val="0.57435629177420156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lowShelf!$S$8:$S$97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lowShelf!$V$8:$V$97</c:f>
              <c:numCache>
                <c:formatCode>0.00</c:formatCode>
                <c:ptCount val="90"/>
                <c:pt idx="0">
                  <c:v>3.0037586285572075</c:v>
                </c:pt>
                <c:pt idx="1">
                  <c:v>3.0044676127378835</c:v>
                </c:pt>
                <c:pt idx="2">
                  <c:v>3.00530983433746</c:v>
                </c:pt>
                <c:pt idx="3">
                  <c:v>3.0063101225204534</c:v>
                </c:pt>
                <c:pt idx="4">
                  <c:v>3.0074978437481548</c:v>
                </c:pt>
                <c:pt idx="5">
                  <c:v>3.0089076916860478</c:v>
                </c:pt>
                <c:pt idx="6">
                  <c:v>3.0105805967357284</c:v>
                </c:pt>
                <c:pt idx="7">
                  <c:v>3.0125647644873794</c:v>
                </c:pt>
                <c:pt idx="8">
                  <c:v>3.0149168479473474</c:v>
                </c:pt>
                <c:pt idx="9">
                  <c:v>3.0177032500714631</c:v>
                </c:pt>
                <c:pt idx="10">
                  <c:v>3.0210015386120403</c:v>
                </c:pt>
                <c:pt idx="11">
                  <c:v>3.0249019309094152</c:v>
                </c:pt>
                <c:pt idx="12">
                  <c:v>3.0295087662669005</c:v>
                </c:pt>
                <c:pt idx="13">
                  <c:v>3.034941818792376</c:v>
                </c:pt>
                <c:pt idx="14">
                  <c:v>3.0413371994616085</c:v>
                </c:pt>
                <c:pt idx="15">
                  <c:v>3.0488474291954546</c:v>
                </c:pt>
                <c:pt idx="16">
                  <c:v>3.0576399970181001</c:v>
                </c:pt>
                <c:pt idx="17">
                  <c:v>3.0678932872896496</c:v>
                </c:pt>
                <c:pt idx="18">
                  <c:v>3.0797880672204627</c:v>
                </c:pt>
                <c:pt idx="19">
                  <c:v>3.0934916068474223</c:v>
                </c:pt>
                <c:pt idx="20">
                  <c:v>3.109129693317783</c:v>
                </c:pt>
                <c:pt idx="21">
                  <c:v>3.1267388763019781</c:v>
                </c:pt>
                <c:pt idx="22">
                  <c:v>3.1461865866207575</c:v>
                </c:pt>
                <c:pt idx="23">
                  <c:v>3.1670393585498076</c:v>
                </c:pt>
                <c:pt idx="24">
                  <c:v>3.1883480905140402</c:v>
                </c:pt>
                <c:pt idx="25">
                  <c:v>3.2083032985640472</c:v>
                </c:pt>
                <c:pt idx="26">
                  <c:v>3.2236943880495232</c:v>
                </c:pt>
                <c:pt idx="27">
                  <c:v>3.2290957373451619</c:v>
                </c:pt>
                <c:pt idx="28">
                  <c:v>3.2157341899091705</c:v>
                </c:pt>
                <c:pt idx="29">
                  <c:v>3.170158013205338</c:v>
                </c:pt>
                <c:pt idx="30">
                  <c:v>3.0733018757798902</c:v>
                </c:pt>
                <c:pt idx="31">
                  <c:v>2.9014991407904276</c:v>
                </c:pt>
                <c:pt idx="32">
                  <c:v>2.6320784716143208</c:v>
                </c:pt>
                <c:pt idx="33">
                  <c:v>2.2554297134500203</c:v>
                </c:pt>
                <c:pt idx="34">
                  <c:v>1.7896853506792993</c:v>
                </c:pt>
                <c:pt idx="35">
                  <c:v>1.2855019244849046</c:v>
                </c:pt>
                <c:pt idx="36">
                  <c:v>0.81000462163196119</c:v>
                </c:pt>
                <c:pt idx="37">
                  <c:v>0.41789840081097651</c:v>
                </c:pt>
                <c:pt idx="38">
                  <c:v>0.132375915311151</c:v>
                </c:pt>
                <c:pt idx="39">
                  <c:v>-5.2855242320973161E-2</c:v>
                </c:pt>
                <c:pt idx="40">
                  <c:v>-0.15942170310710679</c:v>
                </c:pt>
                <c:pt idx="41">
                  <c:v>-0.2113538141682838</c:v>
                </c:pt>
                <c:pt idx="42">
                  <c:v>-0.22855904149802342</c:v>
                </c:pt>
                <c:pt idx="43">
                  <c:v>-0.22530346046055172</c:v>
                </c:pt>
                <c:pt idx="44">
                  <c:v>-0.2109821121347224</c:v>
                </c:pt>
                <c:pt idx="45">
                  <c:v>-0.19144634129109761</c:v>
                </c:pt>
                <c:pt idx="46">
                  <c:v>-0.17018137941001044</c:v>
                </c:pt>
                <c:pt idx="47">
                  <c:v>-0.14916758070420855</c:v>
                </c:pt>
                <c:pt idx="48">
                  <c:v>-0.12945760129723283</c:v>
                </c:pt>
                <c:pt idx="49">
                  <c:v>-0.11154612447766965</c:v>
                </c:pt>
                <c:pt idx="50">
                  <c:v>-9.5600796571268631E-2</c:v>
                </c:pt>
                <c:pt idx="51">
                  <c:v>-8.1604216402745067E-2</c:v>
                </c:pt>
                <c:pt idx="52">
                  <c:v>-6.9440162215570922E-2</c:v>
                </c:pt>
                <c:pt idx="53">
                  <c:v>-5.8945258460767036E-2</c:v>
                </c:pt>
                <c:pt idx="54">
                  <c:v>-4.9939360962063972E-2</c:v>
                </c:pt>
                <c:pt idx="55">
                  <c:v>-4.2242900757301527E-2</c:v>
                </c:pt>
                <c:pt idx="56">
                  <c:v>-3.5686282620499554E-2</c:v>
                </c:pt>
                <c:pt idx="57">
                  <c:v>-3.0114487168170001E-2</c:v>
                </c:pt>
                <c:pt idx="58">
                  <c:v>-2.5388821975429465E-2</c:v>
                </c:pt>
                <c:pt idx="59">
                  <c:v>-2.1387022342214124E-2</c:v>
                </c:pt>
                <c:pt idx="60">
                  <c:v>-1.8002440212985249E-2</c:v>
                </c:pt>
                <c:pt idx="61">
                  <c:v>-1.514277219126825E-2</c:v>
                </c:pt>
                <c:pt idx="62">
                  <c:v>-1.272859829382611E-2</c:v>
                </c:pt>
                <c:pt idx="63">
                  <c:v>-1.0691891259515529E-2</c:v>
                </c:pt>
                <c:pt idx="64">
                  <c:v>-8.9745866395780638E-3</c:v>
                </c:pt>
                <c:pt idx="65">
                  <c:v>-7.5272608628793591E-3</c:v>
                </c:pt>
                <c:pt idx="66">
                  <c:v>-6.3079381773789578E-3</c:v>
                </c:pt>
                <c:pt idx="67">
                  <c:v>-5.2810316378852917E-3</c:v>
                </c:pt>
                <c:pt idx="68">
                  <c:v>-4.4164142317804078E-3</c:v>
                </c:pt>
                <c:pt idx="69">
                  <c:v>-3.6886113218219663E-3</c:v>
                </c:pt>
                <c:pt idx="70">
                  <c:v>-3.0761032552533152E-3</c:v>
                </c:pt>
                <c:pt idx="71">
                  <c:v>-2.5607262295448407E-3</c:v>
                </c:pt>
                <c:pt idx="72">
                  <c:v>-2.1271596730469966E-3</c:v>
                </c:pt>
                <c:pt idx="73">
                  <c:v>-1.7624890859835318E-3</c:v>
                </c:pt>
                <c:pt idx="74">
                  <c:v>-1.4558342367427812E-3</c:v>
                </c:pt>
                <c:pt idx="75">
                  <c:v>-1.198033663186493E-3</c:v>
                </c:pt>
                <c:pt idx="76">
                  <c:v>-9.8137749410809327E-4</c:v>
                </c:pt>
                <c:pt idx="77">
                  <c:v>-7.9938162956916248E-4</c:v>
                </c:pt>
                <c:pt idx="78">
                  <c:v>-6.4659727454552396E-4</c:v>
                </c:pt>
                <c:pt idx="79">
                  <c:v>-5.1845070099698631E-4</c:v>
                </c:pt>
                <c:pt idx="80">
                  <c:v>-4.1110892514817365E-4</c:v>
                </c:pt>
                <c:pt idx="81">
                  <c:v>-3.2136774849256255E-4</c:v>
                </c:pt>
                <c:pt idx="82">
                  <c:v>-2.4655935703687959E-4</c:v>
                </c:pt>
                <c:pt idx="83">
                  <c:v>-1.8447746290561895E-4</c:v>
                </c:pt>
                <c:pt idx="84">
                  <c:v>-1.3331891084966685E-4</c:v>
                </c:pt>
                <c:pt idx="85">
                  <c:v>-9.164195706645728E-5</c:v>
                </c:pt>
                <c:pt idx="86">
                  <c:v>-5.8343452867148926E-5</c:v>
                </c:pt>
                <c:pt idx="87">
                  <c:v>-3.2660763418235206E-5</c:v>
                </c:pt>
                <c:pt idx="88">
                  <c:v>-1.4211291311738705E-5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C-45F4-9104-1DF7E3C1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01135"/>
        <c:axId val="1"/>
      </c:scatterChart>
      <c:valAx>
        <c:axId val="165890113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901135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39003113514462445"/>
          <c:y val="3.28195459928240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427042429779"/>
          <c:y val="0.22008401430481991"/>
          <c:w val="0.69872876343444568"/>
          <c:h val="0.63515474303759434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LT!$AH$1:$AI$1</c:f>
              <c:numCache>
                <c:formatCode>0.00000000000000</c:formatCode>
                <c:ptCount val="2"/>
                <c:pt idx="0">
                  <c:v>0.99673281273639558</c:v>
                </c:pt>
                <c:pt idx="1">
                  <c:v>0.99673281273639558</c:v>
                </c:pt>
              </c:numCache>
            </c:numRef>
          </c:xVal>
          <c:yVal>
            <c:numRef>
              <c:f>LT!$AH$2:$AI$2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A2E-923A-05A2D4F5B980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LT!$AH$4:$AI$4</c:f>
              <c:numCache>
                <c:formatCode>0.00000000000000</c:formatCode>
                <c:ptCount val="2"/>
                <c:pt idx="0">
                  <c:v>0.99700802366246177</c:v>
                </c:pt>
                <c:pt idx="1">
                  <c:v>0.99700802366246177</c:v>
                </c:pt>
              </c:numCache>
            </c:numRef>
          </c:xVal>
          <c:yVal>
            <c:numRef>
              <c:f>LT!$AH$5:$AI$5</c:f>
              <c:numCache>
                <c:formatCode>0.00000000000000</c:formatCode>
                <c:ptCount val="2"/>
                <c:pt idx="0">
                  <c:v>6.5365479751949692E-3</c:v>
                </c:pt>
                <c:pt idx="1">
                  <c:v>-6.5365479751949692E-3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A2E-923A-05A2D4F5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15951"/>
        <c:axId val="1"/>
      </c:scatterChart>
      <c:valAx>
        <c:axId val="1659415951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0.04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15951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9830096793659"/>
          <c:y val="0.21798043052563509"/>
          <c:w val="0.69828338282724045"/>
          <c:h val="0.63673231021961829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lowShelf!$AJ$1:$AK$1</c:f>
              <c:numCache>
                <c:formatCode>0.00000000000000</c:formatCode>
                <c:ptCount val="2"/>
                <c:pt idx="0">
                  <c:v>0.98785145469575997</c:v>
                </c:pt>
                <c:pt idx="1">
                  <c:v>0.98785145469575997</c:v>
                </c:pt>
              </c:numCache>
            </c:numRef>
          </c:xVal>
          <c:yVal>
            <c:numRef>
              <c:f>lowShelf!$AJ$2:$AK$2</c:f>
              <c:numCache>
                <c:formatCode>0.00000000000000</c:formatCode>
                <c:ptCount val="2"/>
                <c:pt idx="0">
                  <c:v>2.0548415194872088E-2</c:v>
                </c:pt>
                <c:pt idx="1">
                  <c:v>-2.0548415194872088E-2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0-40CE-B40D-4DF1F65A62A3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lowShelf!$AJ$4:$AK$4</c:f>
              <c:numCache>
                <c:formatCode>0.00000000000000</c:formatCode>
                <c:ptCount val="2"/>
                <c:pt idx="0">
                  <c:v>0.98553080453953334</c:v>
                </c:pt>
                <c:pt idx="1">
                  <c:v>0.98553080453953334</c:v>
                </c:pt>
              </c:numCache>
            </c:numRef>
          </c:xVal>
          <c:yVal>
            <c:numRef>
              <c:f>lowShelf!$AJ$5:$AK$5</c:f>
              <c:numCache>
                <c:formatCode>0.00000000000000</c:formatCode>
                <c:ptCount val="2"/>
                <c:pt idx="0">
                  <c:v>2.4365915266971381E-2</c:v>
                </c:pt>
                <c:pt idx="1">
                  <c:v>-2.4365915266971381E-2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0-40CE-B40D-4DF1F65A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13455"/>
        <c:axId val="1"/>
      </c:scatterChart>
      <c:valAx>
        <c:axId val="1659413455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13455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1348285068438"/>
          <c:y val="0.2069033013730201"/>
          <c:w val="0.83739975743012063"/>
          <c:h val="0.57608370186213442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highShelf!$S$8:$S$97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highShelf!$V$8:$V$97</c:f>
              <c:numCache>
                <c:formatCode>0.00</c:formatCode>
                <c:ptCount val="90"/>
                <c:pt idx="0">
                  <c:v>-3.7586285015507315E-3</c:v>
                </c:pt>
                <c:pt idx="1">
                  <c:v>-4.4676126822480455E-3</c:v>
                </c:pt>
                <c:pt idx="2">
                  <c:v>-5.3098342817960997E-3</c:v>
                </c:pt>
                <c:pt idx="3">
                  <c:v>-6.3101224647965637E-3</c:v>
                </c:pt>
                <c:pt idx="4">
                  <c:v>-7.4978436924979519E-3</c:v>
                </c:pt>
                <c:pt idx="5">
                  <c:v>-8.9076916303980624E-3</c:v>
                </c:pt>
                <c:pt idx="6">
                  <c:v>-1.0580596680064502E-2</c:v>
                </c:pt>
                <c:pt idx="7">
                  <c:v>-1.2564764431729714E-2</c:v>
                </c:pt>
                <c:pt idx="8">
                  <c:v>-1.491684789168346E-2</c:v>
                </c:pt>
                <c:pt idx="9">
                  <c:v>-1.7703250015792094E-2</c:v>
                </c:pt>
                <c:pt idx="10">
                  <c:v>-2.1001538556369326E-2</c:v>
                </c:pt>
                <c:pt idx="11">
                  <c:v>-2.4901930853737042E-2</c:v>
                </c:pt>
                <c:pt idx="12">
                  <c:v>-2.9508766211222337E-2</c:v>
                </c:pt>
                <c:pt idx="13">
                  <c:v>-3.4941818736683672E-2</c:v>
                </c:pt>
                <c:pt idx="14">
                  <c:v>-4.1337199405937497E-2</c:v>
                </c:pt>
                <c:pt idx="15">
                  <c:v>-4.8847429139776466E-2</c:v>
                </c:pt>
                <c:pt idx="16">
                  <c:v>-5.7639996962414841E-2</c:v>
                </c:pt>
                <c:pt idx="17">
                  <c:v>-6.7893287233999899E-2</c:v>
                </c:pt>
                <c:pt idx="18">
                  <c:v>-7.9788067164855647E-2</c:v>
                </c:pt>
                <c:pt idx="19">
                  <c:v>-9.3491606791864967E-2</c:v>
                </c:pt>
                <c:pt idx="20">
                  <c:v>-0.10912969326233934</c:v>
                </c:pt>
                <c:pt idx="21">
                  <c:v>-0.12673887624669078</c:v>
                </c:pt>
                <c:pt idx="22">
                  <c:v>-0.14618658656573302</c:v>
                </c:pt>
                <c:pt idx="23">
                  <c:v>-0.16703935849514551</c:v>
                </c:pt>
                <c:pt idx="24">
                  <c:v>-0.18834809045997503</c:v>
                </c:pt>
                <c:pt idx="25">
                  <c:v>-0.20830329851084883</c:v>
                </c:pt>
                <c:pt idx="26">
                  <c:v>-0.22369438799761809</c:v>
                </c:pt>
                <c:pt idx="27">
                  <c:v>-0.2290957372951965</c:v>
                </c:pt>
                <c:pt idx="28">
                  <c:v>-0.21573418986201887</c:v>
                </c:pt>
                <c:pt idx="29">
                  <c:v>-0.17015801316227908</c:v>
                </c:pt>
                <c:pt idx="30">
                  <c:v>-7.330187574249436E-2</c:v>
                </c:pt>
                <c:pt idx="31">
                  <c:v>9.850085923948626E-2</c:v>
                </c:pt>
                <c:pt idx="32">
                  <c:v>0.36792152840646963</c:v>
                </c:pt>
                <c:pt idx="33">
                  <c:v>0.74457028656075153</c:v>
                </c:pt>
                <c:pt idx="34">
                  <c:v>1.2103146493218802</c:v>
                </c:pt>
                <c:pt idx="35">
                  <c:v>1.7144980755084305</c:v>
                </c:pt>
                <c:pt idx="36">
                  <c:v>2.1899953783560235</c:v>
                </c:pt>
                <c:pt idx="37">
                  <c:v>2.5821015991741376</c:v>
                </c:pt>
                <c:pt idx="38">
                  <c:v>2.8676240846730536</c:v>
                </c:pt>
                <c:pt idx="39">
                  <c:v>3.0528552423055686</c:v>
                </c:pt>
                <c:pt idx="40">
                  <c:v>3.1594217030928604</c:v>
                </c:pt>
                <c:pt idx="41">
                  <c:v>3.2113538141555011</c:v>
                </c:pt>
                <c:pt idx="42">
                  <c:v>3.2285590414867968</c:v>
                </c:pt>
                <c:pt idx="43">
                  <c:v>3.2253034604508386</c:v>
                </c:pt>
                <c:pt idx="44">
                  <c:v>3.2109821121263877</c:v>
                </c:pt>
                <c:pt idx="45">
                  <c:v>3.1914463412839851</c:v>
                </c:pt>
                <c:pt idx="46">
                  <c:v>3.1701813794039637</c:v>
                </c:pt>
                <c:pt idx="47">
                  <c:v>3.1491675806990855</c:v>
                </c:pt>
                <c:pt idx="48">
                  <c:v>3.1294576012929056</c:v>
                </c:pt>
                <c:pt idx="49">
                  <c:v>3.1115461244740104</c:v>
                </c:pt>
                <c:pt idx="50">
                  <c:v>3.095600796568192</c:v>
                </c:pt>
                <c:pt idx="51">
                  <c:v>3.0816042164001658</c:v>
                </c:pt>
                <c:pt idx="52">
                  <c:v>3.0694401622133896</c:v>
                </c:pt>
                <c:pt idx="53">
                  <c:v>3.0589452584589196</c:v>
                </c:pt>
                <c:pt idx="54">
                  <c:v>3.049939360960515</c:v>
                </c:pt>
                <c:pt idx="55">
                  <c:v>3.0422429007559941</c:v>
                </c:pt>
                <c:pt idx="56">
                  <c:v>3.0356862826194018</c:v>
                </c:pt>
                <c:pt idx="57">
                  <c:v>3.0301144871672463</c:v>
                </c:pt>
                <c:pt idx="58">
                  <c:v>3.0253888219746585</c:v>
                </c:pt>
                <c:pt idx="59">
                  <c:v>3.0213870223415604</c:v>
                </c:pt>
                <c:pt idx="60">
                  <c:v>3.0180024402124381</c:v>
                </c:pt>
                <c:pt idx="61">
                  <c:v>3.0151427721908099</c:v>
                </c:pt>
                <c:pt idx="62">
                  <c:v>3.0127285982934353</c:v>
                </c:pt>
                <c:pt idx="63">
                  <c:v>3.0106918912591887</c:v>
                </c:pt>
                <c:pt idx="64">
                  <c:v>3.0089745866393045</c:v>
                </c:pt>
                <c:pt idx="65">
                  <c:v>3.007527260862652</c:v>
                </c:pt>
                <c:pt idx="66">
                  <c:v>3.0063079381771871</c:v>
                </c:pt>
                <c:pt idx="67">
                  <c:v>3.0052810316377219</c:v>
                </c:pt>
                <c:pt idx="68">
                  <c:v>3.0044164142316472</c:v>
                </c:pt>
                <c:pt idx="69">
                  <c:v>3.0036886113217065</c:v>
                </c:pt>
                <c:pt idx="70">
                  <c:v>3.0030761032551583</c:v>
                </c:pt>
                <c:pt idx="71">
                  <c:v>3.0025607262294658</c:v>
                </c:pt>
                <c:pt idx="72">
                  <c:v>3.0021271596729822</c:v>
                </c:pt>
                <c:pt idx="73">
                  <c:v>3.0017624890859285</c:v>
                </c:pt>
                <c:pt idx="74">
                  <c:v>3.0014558342366966</c:v>
                </c:pt>
                <c:pt idx="75">
                  <c:v>3.0011980336631479</c:v>
                </c:pt>
                <c:pt idx="76">
                  <c:v>3.0009813774940755</c:v>
                </c:pt>
                <c:pt idx="77">
                  <c:v>3.000799381629542</c:v>
                </c:pt>
                <c:pt idx="78">
                  <c:v>3.0006465972745233</c:v>
                </c:pt>
                <c:pt idx="79">
                  <c:v>3.0005184507009792</c:v>
                </c:pt>
                <c:pt idx="80">
                  <c:v>3.0004111089251335</c:v>
                </c:pt>
                <c:pt idx="81">
                  <c:v>3.000321367748481</c:v>
                </c:pt>
                <c:pt idx="82">
                  <c:v>3.0002465593570271</c:v>
                </c:pt>
                <c:pt idx="83">
                  <c:v>3.0001844774628976</c:v>
                </c:pt>
                <c:pt idx="84">
                  <c:v>3.0001333189108461</c:v>
                </c:pt>
                <c:pt idx="85">
                  <c:v>3.0000916419570594</c:v>
                </c:pt>
                <c:pt idx="86">
                  <c:v>3.0000583434528636</c:v>
                </c:pt>
                <c:pt idx="87">
                  <c:v>3.0000326607634165</c:v>
                </c:pt>
                <c:pt idx="88">
                  <c:v>3.0000142112913046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0-4ABA-A40A-19A8785D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04047"/>
        <c:axId val="1"/>
      </c:scatterChart>
      <c:valAx>
        <c:axId val="1658904047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904047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762244230644"/>
          <c:y val="0.21756453766621353"/>
          <c:w val="0.6988632734942527"/>
          <c:h val="0.63742592614487126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highShelf!$AJ$1:$AK$1</c:f>
              <c:numCache>
                <c:formatCode>0.00000000000000</c:formatCode>
                <c:ptCount val="2"/>
                <c:pt idx="0">
                  <c:v>0.98553080453953501</c:v>
                </c:pt>
                <c:pt idx="1">
                  <c:v>0.98553080453953501</c:v>
                </c:pt>
              </c:numCache>
            </c:numRef>
          </c:xVal>
          <c:yVal>
            <c:numRef>
              <c:f>highShelf!$AJ$2:$AK$2</c:f>
              <c:numCache>
                <c:formatCode>0.00000000000000</c:formatCode>
                <c:ptCount val="2"/>
                <c:pt idx="0">
                  <c:v>2.4365915266963755E-2</c:v>
                </c:pt>
                <c:pt idx="1">
                  <c:v>-2.4365915266963755E-2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051-9D95-5A0E53876C1F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highShelf!$AJ$4:$AK$4</c:f>
              <c:numCache>
                <c:formatCode>0.00000000000000</c:formatCode>
                <c:ptCount val="2"/>
                <c:pt idx="0">
                  <c:v>0.98785145469576008</c:v>
                </c:pt>
                <c:pt idx="1">
                  <c:v>0.98785145469576008</c:v>
                </c:pt>
              </c:numCache>
            </c:numRef>
          </c:xVal>
          <c:yVal>
            <c:numRef>
              <c:f>highShelf!$AJ$5:$AK$5</c:f>
              <c:numCache>
                <c:formatCode>0.00000000000000</c:formatCode>
                <c:ptCount val="2"/>
                <c:pt idx="0">
                  <c:v>2.0548415194953158E-2</c:v>
                </c:pt>
                <c:pt idx="1">
                  <c:v>-2.0548415194953158E-2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051-9D95-5A0E5387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02799"/>
        <c:axId val="1"/>
      </c:scatterChart>
      <c:valAx>
        <c:axId val="1658902799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902799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5683937080652"/>
          <c:y val="0.18526495585994143"/>
          <c:w val="0.82882792398490723"/>
          <c:h val="0.62551823806474849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RIAA!$S$8:$S$97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  <c:pt idx="89">
                  <c:v>22333.598364984489</c:v>
                </c:pt>
              </c:numCache>
            </c:numRef>
          </c:xVal>
          <c:yVal>
            <c:numRef>
              <c:f>RIAA!$V$8:$V$97</c:f>
              <c:numCache>
                <c:formatCode>0.00</c:formatCode>
                <c:ptCount val="90"/>
                <c:pt idx="0">
                  <c:v>32.842858964171995</c:v>
                </c:pt>
                <c:pt idx="1">
                  <c:v>32.814601957758953</c:v>
                </c:pt>
                <c:pt idx="2">
                  <c:v>32.781240621637487</c:v>
                </c:pt>
                <c:pt idx="3">
                  <c:v>32.741904143259625</c:v>
                </c:pt>
                <c:pt idx="4">
                  <c:v>32.695592882837047</c:v>
                </c:pt>
                <c:pt idx="5">
                  <c:v>32.641166776929524</c:v>
                </c:pt>
                <c:pt idx="6">
                  <c:v>32.577335593578354</c:v>
                </c:pt>
                <c:pt idx="7">
                  <c:v>32.502652377910451</c:v>
                </c:pt>
                <c:pt idx="8">
                  <c:v>32.41551175452561</c:v>
                </c:pt>
                <c:pt idx="9">
                  <c:v>32.314155043670368</c:v>
                </c:pt>
                <c:pt idx="10">
                  <c:v>32.196684330775653</c:v>
                </c:pt>
                <c:pt idx="11">
                  <c:v>32.061087607916747</c:v>
                </c:pt>
                <c:pt idx="12">
                  <c:v>31.90527677072766</c:v>
                </c:pt>
                <c:pt idx="13">
                  <c:v>31.727139501751342</c:v>
                </c:pt>
                <c:pt idx="14">
                  <c:v>31.524604840630985</c:v>
                </c:pt>
                <c:pt idx="15">
                  <c:v>31.295720561719623</c:v>
                </c:pt>
                <c:pt idx="16">
                  <c:v>31.038738511725068</c:v>
                </c:pt>
                <c:pt idx="17">
                  <c:v>30.752202115195061</c:v>
                </c:pt>
                <c:pt idx="18">
                  <c:v>30.435028763499542</c:v>
                </c:pt>
                <c:pt idx="19">
                  <c:v>30.086579216729518</c:v>
                </c:pt>
                <c:pt idx="20">
                  <c:v>29.706706801754589</c:v>
                </c:pt>
                <c:pt idx="21">
                  <c:v>29.2957811549851</c:v>
                </c:pt>
                <c:pt idx="22">
                  <c:v>28.85468426578964</c:v>
                </c:pt>
                <c:pt idx="23">
                  <c:v>28.384780054624848</c:v>
                </c:pt>
                <c:pt idx="24">
                  <c:v>27.887861952430594</c:v>
                </c:pt>
                <c:pt idx="25">
                  <c:v>27.366085290634416</c:v>
                </c:pt>
                <c:pt idx="26">
                  <c:v>26.821892378807835</c:v>
                </c:pt>
                <c:pt idx="27">
                  <c:v>26.257937894852773</c:v>
                </c:pt>
                <c:pt idx="28">
                  <c:v>25.677020894210479</c:v>
                </c:pt>
                <c:pt idx="29">
                  <c:v>25.082027783434665</c:v>
                </c:pt>
                <c:pt idx="30">
                  <c:v>24.475888443618111</c:v>
                </c:pt>
                <c:pt idx="31">
                  <c:v>23.861545682374228</c:v>
                </c:pt>
                <c:pt idx="32">
                  <c:v>23.241936548206386</c:v>
                </c:pt>
                <c:pt idx="33">
                  <c:v>22.619982830818749</c:v>
                </c:pt>
                <c:pt idx="34">
                  <c:v>21.99858727352909</c:v>
                </c:pt>
                <c:pt idx="35">
                  <c:v>21.380631575970718</c:v>
                </c:pt>
                <c:pt idx="36">
                  <c:v>20.768972107388649</c:v>
                </c:pt>
                <c:pt idx="37">
                  <c:v>20.166429358001217</c:v>
                </c:pt>
                <c:pt idx="38">
                  <c:v>19.575767548574973</c:v>
                </c:pt>
                <c:pt idx="39">
                  <c:v>18.999661554168487</c:v>
                </c:pt>
                <c:pt idx="40">
                  <c:v>18.440649444260035</c:v>
                </c:pt>
                <c:pt idx="41">
                  <c:v>17.901070531308516</c:v>
                </c:pt>
                <c:pt idx="42">
                  <c:v>17.382990799802872</c:v>
                </c:pt>
                <c:pt idx="43">
                  <c:v>16.888119773636625</c:v>
                </c:pt>
                <c:pt idx="44">
                  <c:v>16.417724942877861</c:v>
                </c:pt>
                <c:pt idx="45">
                  <c:v>15.972551381282816</c:v>
                </c:pt>
                <c:pt idx="46">
                  <c:v>15.55275471556353</c:v>
                </c:pt>
                <c:pt idx="47">
                  <c:v>15.157854877860807</c:v>
                </c:pt>
                <c:pt idx="48">
                  <c:v>14.786716088684287</c:v>
                </c:pt>
                <c:pt idx="49">
                  <c:v>14.437555621593692</c:v>
                </c:pt>
                <c:pt idx="50">
                  <c:v>14.107980706186421</c:v>
                </c:pt>
                <c:pt idx="51">
                  <c:v>13.795050135635066</c:v>
                </c:pt>
                <c:pt idx="52">
                  <c:v>13.495355328271273</c:v>
                </c:pt>
                <c:pt idx="53">
                  <c:v>13.205115009594852</c:v>
                </c:pt>
                <c:pt idx="54">
                  <c:v>12.920278223454122</c:v>
                </c:pt>
                <c:pt idx="55">
                  <c:v>12.636631640210295</c:v>
                </c:pt>
                <c:pt idx="56">
                  <c:v>12.349908548276929</c:v>
                </c:pt>
                <c:pt idx="57">
                  <c:v>12.055897961743698</c:v>
                </c:pt>
                <c:pt idx="58">
                  <c:v>11.75055258824521</c:v>
                </c:pt>
                <c:pt idx="59">
                  <c:v>11.430093871763635</c:v>
                </c:pt>
                <c:pt idx="60">
                  <c:v>11.091111129187082</c:v>
                </c:pt>
                <c:pt idx="61">
                  <c:v>10.730650352553585</c:v>
                </c:pt>
                <c:pt idx="62">
                  <c:v>10.346287104787029</c:v>
                </c:pt>
                <c:pt idx="63">
                  <c:v>9.936177633082881</c:v>
                </c:pt>
                <c:pt idx="64">
                  <c:v>9.4990832085798615</c:v>
                </c:pt>
                <c:pt idx="65">
                  <c:v>9.034364794447022</c:v>
                </c:pt>
                <c:pt idx="66">
                  <c:v>8.541948103023735</c:v>
                </c:pt>
                <c:pt idx="67">
                  <c:v>8.022262309037437</c:v>
                </c:pt>
                <c:pt idx="68">
                  <c:v>7.4761584459892036</c:v>
                </c:pt>
                <c:pt idx="69">
                  <c:v>6.9048152780404939</c:v>
                </c:pt>
                <c:pt idx="70">
                  <c:v>6.3096409659191046</c:v>
                </c:pt>
                <c:pt idx="71">
                  <c:v>5.6921782311431395</c:v>
                </c:pt>
                <c:pt idx="72">
                  <c:v>5.0540193334300554</c:v>
                </c:pt>
                <c:pt idx="73">
                  <c:v>4.3967355060686089</c:v>
                </c:pt>
                <c:pt idx="74">
                  <c:v>3.7218240373041489</c:v>
                </c:pt>
                <c:pt idx="75">
                  <c:v>3.030675362503612</c:v>
                </c:pt>
                <c:pt idx="76">
                  <c:v>2.3245626889953006</c:v>
                </c:pt>
                <c:pt idx="77">
                  <c:v>1.6046581560574833</c:v>
                </c:pt>
                <c:pt idx="78">
                  <c:v>0.87208280078286504</c:v>
                </c:pt>
                <c:pt idx="79">
                  <c:v>0.12800341800565063</c:v>
                </c:pt>
                <c:pt idx="80">
                  <c:v>-0.626200940487458</c:v>
                </c:pt>
                <c:pt idx="81">
                  <c:v>-1.3886644882139545</c:v>
                </c:pt>
                <c:pt idx="82">
                  <c:v>-2.1565892524194803</c:v>
                </c:pt>
                <c:pt idx="83">
                  <c:v>-2.9255280655488933</c:v>
                </c:pt>
                <c:pt idx="84">
                  <c:v>-3.6882425199656894</c:v>
                </c:pt>
                <c:pt idx="85">
                  <c:v>-4.4329215120402914</c:v>
                </c:pt>
                <c:pt idx="86">
                  <c:v>-5.1405173761492557</c:v>
                </c:pt>
                <c:pt idx="87">
                  <c:v>-5.7810853520179286</c:v>
                </c:pt>
                <c:pt idx="88">
                  <c:v>-6.3095787517088606</c:v>
                </c:pt>
                <c:pt idx="89">
                  <c:v>-6.6629259663311071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5-4CF8-810F-506F57F0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82623"/>
        <c:axId val="1"/>
      </c:scatterChart>
      <c:valAx>
        <c:axId val="1659782623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782623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060592469799009"/>
          <c:y val="0.93230106819841496"/>
          <c:w val="0.17926047444631044"/>
          <c:h val="5.37866000883700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HK"/>
        </a:p>
      </c:txPr>
    </c:legend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1" r="0.750000000000001" t="1" header="0.51180555555555562" footer="0.51180555555555562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38394808531707E-2"/>
          <c:y val="0.16145689621191217"/>
          <c:w val="0.77340693509705905"/>
          <c:h val="0.7409494771895504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RIAA!$AH$1:$AI$1</c:f>
              <c:numCache>
                <c:formatCode>0.00000000000000</c:formatCode>
                <c:ptCount val="2"/>
                <c:pt idx="0">
                  <c:v>0.73963249991124258</c:v>
                </c:pt>
                <c:pt idx="1">
                  <c:v>0.73963249991124258</c:v>
                </c:pt>
              </c:numCache>
            </c:numRef>
          </c:xVal>
          <c:yVal>
            <c:numRef>
              <c:f>RIAA!$AH$2:$AI$2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C-408E-A206-D85F813F6C71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RIAA!$AH$4:$AI$4</c:f>
              <c:numCache>
                <c:formatCode>0.00000000000000</c:formatCode>
                <c:ptCount val="2"/>
                <c:pt idx="0">
                  <c:v>-0.17660690000261553</c:v>
                </c:pt>
                <c:pt idx="1">
                  <c:v>-0.17660690000261553</c:v>
                </c:pt>
              </c:numCache>
            </c:numRef>
          </c:xVal>
          <c:yVal>
            <c:numRef>
              <c:f>RIAA!$AH$5:$AI$5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C-408E-A206-D85F813F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83455"/>
        <c:axId val="1"/>
      </c:scatterChart>
      <c:valAx>
        <c:axId val="1659783455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783455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31498705009138"/>
          <c:y val="0.12140557312058513"/>
          <c:w val="9.113011948430462E-2"/>
          <c:h val="8.8863873108881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861016266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7140408569597"/>
          <c:y val="0.19434582217726717"/>
          <c:w val="0.82726217294013649"/>
          <c:h val="0.60190599295677893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LPF!$S$8:$S$97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LPF!$V$8:$V$97</c:f>
              <c:numCache>
                <c:formatCode>0.00</c:formatCode>
                <c:ptCount val="90"/>
                <c:pt idx="0">
                  <c:v>-6.0107756805848567E-2</c:v>
                </c:pt>
                <c:pt idx="1">
                  <c:v>-7.1433927885792059E-2</c:v>
                </c:pt>
                <c:pt idx="2">
                  <c:v>-8.4883895898329342E-2</c:v>
                </c:pt>
                <c:pt idx="3">
                  <c:v>-0.10085163217219417</c:v>
                </c:pt>
                <c:pt idx="4">
                  <c:v>-0.11980244899910986</c:v>
                </c:pt>
                <c:pt idx="5">
                  <c:v>-0.14228521004280026</c:v>
                </c:pt>
                <c:pt idx="6">
                  <c:v>-0.16894634293926458</c:v>
                </c:pt>
                <c:pt idx="7">
                  <c:v>-0.20054580118926424</c:v>
                </c:pt>
                <c:pt idx="8">
                  <c:v>-0.23797508061066708</c:v>
                </c:pt>
                <c:pt idx="9">
                  <c:v>-0.2822773236414946</c:v>
                </c:pt>
                <c:pt idx="10">
                  <c:v>-0.33466943170552099</c:v>
                </c:pt>
                <c:pt idx="11">
                  <c:v>-0.39656593861487011</c:v>
                </c:pt>
                <c:pt idx="12">
                  <c:v>-0.46960416209532241</c:v>
                </c:pt>
                <c:pt idx="13">
                  <c:v>-0.55566983156225547</c:v>
                </c:pt>
                <c:pt idx="14">
                  <c:v>-0.65692197682224673</c:v>
                </c:pt>
                <c:pt idx="15">
                  <c:v>-0.77581535079467301</c:v>
                </c:pt>
                <c:pt idx="16">
                  <c:v>-0.91511806096083603</c:v>
                </c:pt>
                <c:pt idx="17">
                  <c:v>-1.0779214348882249</c:v>
                </c:pt>
                <c:pt idx="18">
                  <c:v>-1.2676385162722426</c:v>
                </c:pt>
                <c:pt idx="19">
                  <c:v>-1.4879870966943258</c:v>
                </c:pt>
                <c:pt idx="20">
                  <c:v>-1.742953002176904</c:v>
                </c:pt>
                <c:pt idx="21">
                  <c:v>-2.0367296819848946</c:v>
                </c:pt>
                <c:pt idx="22">
                  <c:v>-2.3736312113916256</c:v>
                </c:pt>
                <c:pt idx="23">
                  <c:v>-2.7579777959658003</c:v>
                </c:pt>
                <c:pt idx="24">
                  <c:v>-3.1939557980266216</c:v>
                </c:pt>
                <c:pt idx="25">
                  <c:v>-3.6854580179737439</c:v>
                </c:pt>
                <c:pt idx="26">
                  <c:v>-4.235913984214406</c:v>
                </c:pt>
                <c:pt idx="27">
                  <c:v>-4.8481235811766936</c:v>
                </c:pt>
                <c:pt idx="28">
                  <c:v>-5.5241095615486415</c:v>
                </c:pt>
                <c:pt idx="29">
                  <c:v>-6.2650045169003619</c:v>
                </c:pt>
                <c:pt idx="30">
                  <c:v>-7.0709852768003714</c:v>
                </c:pt>
                <c:pt idx="31">
                  <c:v>-7.9412626525953698</c:v>
                </c:pt>
                <c:pt idx="32">
                  <c:v>-8.8741277954405291</c:v>
                </c:pt>
                <c:pt idx="33">
                  <c:v>-9.8670495301871455</c:v>
                </c:pt>
                <c:pt idx="34">
                  <c:v>-10.916811268667566</c:v>
                </c:pt>
                <c:pt idx="35">
                  <c:v>-12.019672561589971</c:v>
                </c:pt>
                <c:pt idx="36">
                  <c:v>-13.171539450290105</c:v>
                </c:pt>
                <c:pt idx="37">
                  <c:v>-14.368129289929151</c:v>
                </c:pt>
                <c:pt idx="38">
                  <c:v>-15.605118909516136</c:v>
                </c:pt>
                <c:pt idx="39">
                  <c:v>-16.87826893474346</c:v>
                </c:pt>
                <c:pt idx="40">
                  <c:v>-18.183520994221617</c:v>
                </c:pt>
                <c:pt idx="41">
                  <c:v>-19.517067779552946</c:v>
                </c:pt>
                <c:pt idx="42">
                  <c:v>-20.875398256404274</c:v>
                </c:pt>
                <c:pt idx="43">
                  <c:v>-22.255321702765457</c:v>
                </c:pt>
                <c:pt idx="44">
                  <c:v>-23.653974821565505</c:v>
                </c:pt>
                <c:pt idx="45">
                  <c:v>-25.068816150960764</c:v>
                </c:pt>
                <c:pt idx="46">
                  <c:v>-26.49761159550264</c:v>
                </c:pt>
                <c:pt idx="47">
                  <c:v>-27.938414309607253</c:v>
                </c:pt>
                <c:pt idx="48">
                  <c:v>-29.389541516700064</c:v>
                </c:pt>
                <c:pt idx="49">
                  <c:v>-30.849550230173278</c:v>
                </c:pt>
                <c:pt idx="50">
                  <c:v>-32.317213303413176</c:v>
                </c:pt>
                <c:pt idx="51">
                  <c:v>-33.791496794806243</c:v>
                </c:pt>
                <c:pt idx="52">
                  <c:v>-35.271539290905309</c:v>
                </c:pt>
                <c:pt idx="53">
                  <c:v>-36.75663357790738</c:v>
                </c:pt>
                <c:pt idx="54">
                  <c:v>-38.246210874959132</c:v>
                </c:pt>
                <c:pt idx="55">
                  <c:v>-39.739827728444496</c:v>
                </c:pt>
                <c:pt idx="56">
                  <c:v>-41.237155601384273</c:v>
                </c:pt>
                <c:pt idx="57">
                  <c:v>-42.737973165607841</c:v>
                </c:pt>
                <c:pt idx="58">
                  <c:v>-44.242161308148525</c:v>
                </c:pt>
                <c:pt idx="59">
                  <c:v>-45.749700891565254</c:v>
                </c:pt>
                <c:pt idx="60">
                  <c:v>-47.260673357182448</c:v>
                </c:pt>
                <c:pt idx="61">
                  <c:v>-48.77526432940293</c:v>
                </c:pt>
                <c:pt idx="62">
                  <c:v>-50.293770469377634</c:v>
                </c:pt>
                <c:pt idx="63">
                  <c:v>-51.816609940913828</c:v>
                </c:pt>
                <c:pt idx="64">
                  <c:v>-53.344336996914741</c:v>
                </c:pt>
                <c:pt idx="65">
                  <c:v>-54.877661380826247</c:v>
                </c:pt>
                <c:pt idx="66">
                  <c:v>-56.417473479415804</c:v>
                </c:pt>
                <c:pt idx="67">
                  <c:v>-57.964876482658632</c:v>
                </c:pt>
                <c:pt idx="68">
                  <c:v>-59.52122723587992</c:v>
                </c:pt>
                <c:pt idx="69">
                  <c:v>-61.088188056630194</c:v>
                </c:pt>
                <c:pt idx="70">
                  <c:v>-62.667792606340015</c:v>
                </c:pt>
                <c:pt idx="71">
                  <c:v>-64.262530065103689</c:v>
                </c:pt>
                <c:pt idx="72">
                  <c:v>-65.875453528875084</c:v>
                </c:pt>
                <c:pt idx="73">
                  <c:v>-67.51032100467161</c:v>
                </c:pt>
                <c:pt idx="74">
                  <c:v>-69.171781063377523</c:v>
                </c:pt>
                <c:pt idx="75">
                  <c:v>-70.865620856290406</c:v>
                </c:pt>
                <c:pt idx="76">
                  <c:v>-72.599103065057506</c:v>
                </c:pt>
                <c:pt idx="77">
                  <c:v>-74.381432642170722</c:v>
                </c:pt>
                <c:pt idx="78">
                  <c:v>-76.224417929049494</c:v>
                </c:pt>
                <c:pt idx="79">
                  <c:v>-78.14343151703703</c:v>
                </c:pt>
                <c:pt idx="80">
                  <c:v>-80.158849097777846</c:v>
                </c:pt>
                <c:pt idx="81">
                  <c:v>-82.298280914479406</c:v>
                </c:pt>
                <c:pt idx="82">
                  <c:v>-84.600179800220786</c:v>
                </c:pt>
                <c:pt idx="83">
                  <c:v>-87.119977864791622</c:v>
                </c:pt>
                <c:pt idx="84">
                  <c:v>-89.941202342224543</c:v>
                </c:pt>
                <c:pt idx="85">
                  <c:v>-93.197307782389245</c:v>
                </c:pt>
                <c:pt idx="86">
                  <c:v>-97.119478058360798</c:v>
                </c:pt>
                <c:pt idx="87">
                  <c:v>-102.15889093165289</c:v>
                </c:pt>
                <c:pt idx="88">
                  <c:v>-109.38681636459185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2-4BD6-B6D4-6BD2A79E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15119"/>
        <c:axId val="1"/>
      </c:scatterChart>
      <c:valAx>
        <c:axId val="165941511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823891482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0"/>
          <c:min val="-6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215501823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15119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9787802034419"/>
          <c:y val="0.21469620005372647"/>
          <c:w val="0.70267332456041331"/>
          <c:h val="0.64220530016070809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LPF!$AI$1:$AJ$1</c:f>
              <c:numCache>
                <c:formatCode>0.00000000000000</c:formatCode>
                <c:ptCount val="2"/>
                <c:pt idx="0">
                  <c:v>0.98441412741609502</c:v>
                </c:pt>
                <c:pt idx="1">
                  <c:v>0.98441412741609502</c:v>
                </c:pt>
              </c:numCache>
            </c:numRef>
          </c:xVal>
          <c:yVal>
            <c:numRef>
              <c:f>LPF!$AI$2:$AJ$2</c:f>
              <c:numCache>
                <c:formatCode>0.00000000000000</c:formatCode>
                <c:ptCount val="2"/>
                <c:pt idx="0">
                  <c:v>9.0640224967870404E-8</c:v>
                </c:pt>
                <c:pt idx="1">
                  <c:v>-9.0640224967870404E-8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9-4DD2-BE4B-B7B4099BA602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LPF!$AI$4:$AJ$4</c:f>
              <c:numCache>
                <c:formatCode>0.00000000000000</c:formatCode>
                <c:ptCount val="2"/>
                <c:pt idx="0">
                  <c:v>-3.6881154159048548E-9</c:v>
                </c:pt>
                <c:pt idx="1">
                  <c:v>-3.6881154159048548E-9</c:v>
                </c:pt>
              </c:numCache>
            </c:numRef>
          </c:xVal>
          <c:yVal>
            <c:numRef>
              <c:f>LPF!$AI$5:$AJ$5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9-4DD2-BE4B-B7B4099B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13871"/>
        <c:axId val="1"/>
      </c:scatterChart>
      <c:valAx>
        <c:axId val="1659413871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15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13871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22" r="0.75000000000000022" t="1" header="0.5" footer="0.5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5683937080652"/>
          <c:y val="0.20774589276939204"/>
          <c:w val="0.82882792398490723"/>
          <c:h val="0.57435629177420156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'BPF1'!$S$8:$S$97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'BPF1'!$V$8:$V$97</c:f>
              <c:numCache>
                <c:formatCode>0.00</c:formatCode>
                <c:ptCount val="90"/>
                <c:pt idx="0">
                  <c:v>-49.549161098306008</c:v>
                </c:pt>
                <c:pt idx="1">
                  <c:v>-48.796645733997138</c:v>
                </c:pt>
                <c:pt idx="2">
                  <c:v>-48.044141650560363</c:v>
                </c:pt>
                <c:pt idx="3">
                  <c:v>-47.291650982179192</c:v>
                </c:pt>
                <c:pt idx="4">
                  <c:v>-46.539176266741407</c:v>
                </c:pt>
                <c:pt idx="5">
                  <c:v>-45.78672052218198</c:v>
                </c:pt>
                <c:pt idx="6">
                  <c:v>-45.034287337253744</c:v>
                </c:pt>
                <c:pt idx="7">
                  <c:v>-44.281880979448658</c:v>
                </c:pt>
                <c:pt idx="8">
                  <c:v>-43.529506523304782</c:v>
                </c:pt>
                <c:pt idx="9">
                  <c:v>-42.777170002942142</c:v>
                </c:pt>
                <c:pt idx="10">
                  <c:v>-42.024878593391861</c:v>
                </c:pt>
                <c:pt idx="11">
                  <c:v>-41.272640826138797</c:v>
                </c:pt>
                <c:pt idx="12">
                  <c:v>-40.520466845311326</c:v>
                </c:pt>
                <c:pt idx="13">
                  <c:v>-39.768368712153482</c:v>
                </c:pt>
                <c:pt idx="14">
                  <c:v>-39.01636076683566</c:v>
                </c:pt>
                <c:pt idx="15">
                  <c:v>-38.26446005834169</c:v>
                </c:pt>
                <c:pt idx="16">
                  <c:v>-37.512686855154897</c:v>
                </c:pt>
                <c:pt idx="17">
                  <c:v>-36.761065251808816</c:v>
                </c:pt>
                <c:pt idx="18">
                  <c:v>-36.009623889126473</c:v>
                </c:pt>
                <c:pt idx="19">
                  <c:v>-35.258396809215398</c:v>
                </c:pt>
                <c:pt idx="20">
                  <c:v>-34.507424470088694</c:v>
                </c:pt>
                <c:pt idx="21">
                  <c:v>-33.756754949231194</c:v>
                </c:pt>
                <c:pt idx="22">
                  <c:v>-33.006445370613719</c:v>
                </c:pt>
                <c:pt idx="23">
                  <c:v>-32.256563595676269</c:v>
                </c:pt>
                <c:pt idx="24">
                  <c:v>-31.507190225748833</c:v>
                </c:pt>
                <c:pt idx="25">
                  <c:v>-30.758420971349739</c:v>
                </c:pt>
                <c:pt idx="26">
                  <c:v>-30.010369452872595</c:v>
                </c:pt>
                <c:pt idx="27">
                  <c:v>-29.263170507390264</c:v>
                </c:pt>
                <c:pt idx="28">
                  <c:v>-28.516984087659779</c:v>
                </c:pt>
                <c:pt idx="29">
                  <c:v>-27.77199985181149</c:v>
                </c:pt>
                <c:pt idx="30">
                  <c:v>-27.028442555420398</c:v>
                </c:pt>
                <c:pt idx="31">
                  <c:v>-26.286578371260909</c:v>
                </c:pt>
                <c:pt idx="32">
                  <c:v>-25.546722275324598</c:v>
                </c:pt>
                <c:pt idx="33">
                  <c:v>-24.809246649514556</c:v>
                </c:pt>
                <c:pt idx="34">
                  <c:v>-24.074591260144349</c:v>
                </c:pt>
                <c:pt idx="35">
                  <c:v>-23.34327477453656</c:v>
                </c:pt>
                <c:pt idx="36">
                  <c:v>-22.615907972228214</c:v>
                </c:pt>
                <c:pt idx="37">
                  <c:v>-21.893208787894917</c:v>
                </c:pt>
                <c:pt idx="38">
                  <c:v>-21.176019283940221</c:v>
                </c:pt>
                <c:pt idx="39">
                  <c:v>-20.465324583865112</c:v>
                </c:pt>
                <c:pt idx="40">
                  <c:v>-19.762273693326009</c:v>
                </c:pt>
                <c:pt idx="41">
                  <c:v>-19.068201982895925</c:v>
                </c:pt>
                <c:pt idx="42">
                  <c:v>-18.384654892774996</c:v>
                </c:pt>
                <c:pt idx="43">
                  <c:v>-17.713412133553884</c:v>
                </c:pt>
                <c:pt idx="44">
                  <c:v>-17.05651129056622</c:v>
                </c:pt>
                <c:pt idx="45">
                  <c:v>-16.416269292120393</c:v>
                </c:pt>
                <c:pt idx="46">
                  <c:v>-15.79529968761852</c:v>
                </c:pt>
                <c:pt idx="47">
                  <c:v>-15.19652313542845</c:v>
                </c:pt>
                <c:pt idx="48">
                  <c:v>-14.623167987090703</c:v>
                </c:pt>
                <c:pt idx="49">
                  <c:v>-14.078757474267185</c:v>
                </c:pt>
                <c:pt idx="50">
                  <c:v>-13.567079893495816</c:v>
                </c:pt>
                <c:pt idx="51">
                  <c:v>-13.092138501246282</c:v>
                </c:pt>
                <c:pt idx="52">
                  <c:v>-12.658078734787029</c:v>
                </c:pt>
                <c:pt idx="53">
                  <c:v>-12.269091971667752</c:v>
                </c:pt>
                <c:pt idx="54">
                  <c:v>-11.929297335586071</c:v>
                </c:pt>
                <c:pt idx="55">
                  <c:v>-11.642605893100566</c:v>
                </c:pt>
                <c:pt idx="56">
                  <c:v>-11.412574621692777</c:v>
                </c:pt>
                <c:pt idx="57">
                  <c:v>-11.242260260570337</c:v>
                </c:pt>
                <c:pt idx="58">
                  <c:v>-11.134085002425188</c:v>
                </c:pt>
                <c:pt idx="59">
                  <c:v>-11.089726432328536</c:v>
                </c:pt>
                <c:pt idx="60">
                  <c:v>-11.110042869052947</c:v>
                </c:pt>
                <c:pt idx="61">
                  <c:v>-11.195042340264862</c:v>
                </c:pt>
                <c:pt idx="62">
                  <c:v>-11.343899207596259</c:v>
                </c:pt>
                <c:pt idx="63">
                  <c:v>-11.555017621111574</c:v>
                </c:pt>
                <c:pt idx="64">
                  <c:v>-11.826136339976657</c:v>
                </c:pt>
                <c:pt idx="65">
                  <c:v>-12.154465782978789</c:v>
                </c:pt>
                <c:pt idx="66">
                  <c:v>-12.536846033443553</c:v>
                </c:pt>
                <c:pt idx="67">
                  <c:v>-12.969914157401121</c:v>
                </c:pt>
                <c:pt idx="68">
                  <c:v>-13.450270492158753</c:v>
                </c:pt>
                <c:pt idx="69">
                  <c:v>-13.974636137648318</c:v>
                </c:pt>
                <c:pt idx="70">
                  <c:v>-14.539997208991279</c:v>
                </c:pt>
                <c:pt idx="71">
                  <c:v>-15.143734979041106</c:v>
                </c:pt>
                <c:pt idx="72">
                  <c:v>-15.783744498498461</c:v>
                </c:pt>
                <c:pt idx="73">
                  <c:v>-16.458547503578501</c:v>
                </c:pt>
                <c:pt idx="74">
                  <c:v>-17.167408546808957</c:v>
                </c:pt>
                <c:pt idx="75">
                  <c:v>-17.910466739195058</c:v>
                </c:pt>
                <c:pt idx="76">
                  <c:v>-18.688900035342719</c:v>
                </c:pt>
                <c:pt idx="77">
                  <c:v>-19.505145894139339</c:v>
                </c:pt>
                <c:pt idx="78">
                  <c:v>-20.363213568509597</c:v>
                </c:pt>
                <c:pt idx="79">
                  <c:v>-21.269143144881607</c:v>
                </c:pt>
                <c:pt idx="80">
                  <c:v>-22.231702381856177</c:v>
                </c:pt>
                <c:pt idx="81">
                  <c:v>-23.263480136518794</c:v>
                </c:pt>
                <c:pt idx="82">
                  <c:v>-24.382669515727464</c:v>
                </c:pt>
                <c:pt idx="83">
                  <c:v>-25.616117722960457</c:v>
                </c:pt>
                <c:pt idx="84">
                  <c:v>-27.004868763649306</c:v>
                </c:pt>
                <c:pt idx="85">
                  <c:v>-28.615068717268535</c:v>
                </c:pt>
                <c:pt idx="86">
                  <c:v>-30.561862034492172</c:v>
                </c:pt>
                <c:pt idx="87">
                  <c:v>-33.070528295953238</c:v>
                </c:pt>
                <c:pt idx="88">
                  <c:v>-36.676550957773429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B-43CF-A9EF-6DC1E850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41471"/>
        <c:axId val="1"/>
      </c:scatterChart>
      <c:valAx>
        <c:axId val="1658541471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541471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9830096793659"/>
          <c:y val="0.21798043052563509"/>
          <c:w val="0.69828338282724045"/>
          <c:h val="0.63673231021961829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'BPF1'!$AJ$1:$AK$1</c:f>
              <c:numCache>
                <c:formatCode>0.00000000000000</c:formatCode>
                <c:ptCount val="2"/>
                <c:pt idx="0">
                  <c:v>0.93070422226605409</c:v>
                </c:pt>
                <c:pt idx="1">
                  <c:v>0.93070422226605409</c:v>
                </c:pt>
              </c:numCache>
            </c:numRef>
          </c:xVal>
          <c:yVal>
            <c:numRef>
              <c:f>'BPF1'!$AJ$2:$AK$2</c:f>
              <c:numCache>
                <c:formatCode>0.00000000000000</c:formatCode>
                <c:ptCount val="2"/>
                <c:pt idx="0">
                  <c:v>0.10611369034991951</c:v>
                </c:pt>
                <c:pt idx="1">
                  <c:v>-0.10611369034991951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0-4AD5-89BF-8615E05E594C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'BPF1'!$AJ$4:$AK$4</c:f>
              <c:numCache>
                <c:formatCode>0.00000000000000</c:formatCode>
                <c:ptCount val="2"/>
                <c:pt idx="0">
                  <c:v>-3.7533717598928398E-3</c:v>
                </c:pt>
                <c:pt idx="1">
                  <c:v>-3.7533717598928398E-3</c:v>
                </c:pt>
              </c:numCache>
            </c:numRef>
          </c:xVal>
          <c:yVal>
            <c:numRef>
              <c:f>'BPF1'!$AJ$5:$AK$5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0-4AD5-89BF-8615E05E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36063"/>
        <c:axId val="1"/>
      </c:scatterChart>
      <c:valAx>
        <c:axId val="1658536063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536063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5683937080652"/>
          <c:y val="0.20774589276939204"/>
          <c:w val="0.82882792398490723"/>
          <c:h val="0.57435629177420156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'BPF2'!$S$8:$S$97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'BPF2'!$V$8:$V$97</c:f>
              <c:numCache>
                <c:formatCode>0.00</c:formatCode>
                <c:ptCount val="90"/>
                <c:pt idx="0">
                  <c:v>-40.011980669105625</c:v>
                </c:pt>
                <c:pt idx="1">
                  <c:v>-39.259323517133033</c:v>
                </c:pt>
                <c:pt idx="2">
                  <c:v>-38.506650821373441</c:v>
                </c:pt>
                <c:pt idx="3">
                  <c:v>-37.753959641661126</c:v>
                </c:pt>
                <c:pt idx="4">
                  <c:v>-37.001246481873842</c:v>
                </c:pt>
                <c:pt idx="5">
                  <c:v>-36.248507184884389</c:v>
                </c:pt>
                <c:pt idx="6">
                  <c:v>-35.49573680769528</c:v>
                </c:pt>
                <c:pt idx="7">
                  <c:v>-34.742929473031879</c:v>
                </c:pt>
                <c:pt idx="8">
                  <c:v>-33.990078192974003</c:v>
                </c:pt>
                <c:pt idx="9">
                  <c:v>-33.237174659385225</c:v>
                </c:pt>
                <c:pt idx="10">
                  <c:v>-32.484208994926931</c:v>
                </c:pt>
                <c:pt idx="11">
                  <c:v>-31.73116945729867</c:v>
                </c:pt>
                <c:pt idx="12">
                  <c:v>-30.978042087994353</c:v>
                </c:pt>
                <c:pt idx="13">
                  <c:v>-30.224810295275198</c:v>
                </c:pt>
                <c:pt idx="14">
                  <c:v>-29.4714543591937</c:v>
                </c:pt>
                <c:pt idx="15">
                  <c:v>-28.717950844320065</c:v>
                </c:pt>
                <c:pt idx="16">
                  <c:v>-27.964271903274771</c:v>
                </c:pt>
                <c:pt idx="17">
                  <c:v>-27.210384451213947</c:v>
                </c:pt>
                <c:pt idx="18">
                  <c:v>-26.456249187998218</c:v>
                </c:pt>
                <c:pt idx="19">
                  <c:v>-25.701819440860639</c:v>
                </c:pt>
                <c:pt idx="20">
                  <c:v>-24.947039795942253</c:v>
                </c:pt>
                <c:pt idx="21">
                  <c:v>-24.191844482078324</c:v>
                </c:pt>
                <c:pt idx="22">
                  <c:v>-23.436155464725687</c:v>
                </c:pt>
                <c:pt idx="23">
                  <c:v>-22.679880202023064</c:v>
                </c:pt>
                <c:pt idx="24">
                  <c:v>-21.922909008883856</c:v>
                </c:pt>
                <c:pt idx="25">
                  <c:v>-21.165111969124332</c:v>
                </c:pt>
                <c:pt idx="26">
                  <c:v>-20.406335330601451</c:v>
                </c:pt>
                <c:pt idx="27">
                  <c:v>-19.646397315288269</c:v>
                </c:pt>
                <c:pt idx="28">
                  <c:v>-18.885083276958937</c:v>
                </c:pt>
                <c:pt idx="29">
                  <c:v>-18.122140146588322</c:v>
                </c:pt>
                <c:pt idx="30">
                  <c:v>-17.357270124300555</c:v>
                </c:pt>
                <c:pt idx="31">
                  <c:v>-16.590123614037594</c:v>
                </c:pt>
                <c:pt idx="32">
                  <c:v>-15.820291464657757</c:v>
                </c:pt>
                <c:pt idx="33">
                  <c:v>-15.047296697349701</c:v>
                </c:pt>
                <c:pt idx="34">
                  <c:v>-14.270586093474648</c:v>
                </c:pt>
                <c:pt idx="35">
                  <c:v>-13.489522336388148</c:v>
                </c:pt>
                <c:pt idx="36">
                  <c:v>-12.703377921421129</c:v>
                </c:pt>
                <c:pt idx="37">
                  <c:v>-11.911332893004264</c:v>
                </c:pt>
                <c:pt idx="38">
                  <c:v>-11.112479836627394</c:v>
                </c:pt>
                <c:pt idx="39">
                  <c:v>-10.30584177055777</c:v>
                </c:pt>
                <c:pt idx="40">
                  <c:v>-9.490412173561019</c:v>
                </c:pt>
                <c:pt idx="41">
                  <c:v>-8.6652321910056571</c:v>
                </c:pt>
                <c:pt idx="42">
                  <c:v>-7.8295293917249253</c:v>
                </c:pt>
                <c:pt idx="43">
                  <c:v>-6.9829572270343192</c:v>
                </c:pt>
                <c:pt idx="44">
                  <c:v>-6.1259970584504302</c:v>
                </c:pt>
                <c:pt idx="45">
                  <c:v>-5.2606174233174272</c:v>
                </c:pt>
                <c:pt idx="46">
                  <c:v>-4.3913263802793523</c:v>
                </c:pt>
                <c:pt idx="47">
                  <c:v>-3.5267862514386508</c:v>
                </c:pt>
                <c:pt idx="48">
                  <c:v>-2.6821299496739002</c:v>
                </c:pt>
                <c:pt idx="49">
                  <c:v>-1.8818821252950215</c:v>
                </c:pt>
                <c:pt idx="50">
                  <c:v>-1.1626857362852263</c:v>
                </c:pt>
                <c:pt idx="51">
                  <c:v>-0.5736593594020718</c:v>
                </c:pt>
                <c:pt idx="52">
                  <c:v>-0.17079723732876317</c:v>
                </c:pt>
                <c:pt idx="53">
                  <c:v>-2.9835171537584415E-3</c:v>
                </c:pt>
                <c:pt idx="54">
                  <c:v>-9.3767006361971994E-2</c:v>
                </c:pt>
                <c:pt idx="55">
                  <c:v>-0.43073388846472938</c:v>
                </c:pt>
                <c:pt idx="56">
                  <c:v>-0.97130421167606329</c:v>
                </c:pt>
                <c:pt idx="57">
                  <c:v>-1.6599973722237138</c:v>
                </c:pt>
                <c:pt idx="58">
                  <c:v>-2.4446664152317155</c:v>
                </c:pt>
                <c:pt idx="59">
                  <c:v>-3.2847043398651046</c:v>
                </c:pt>
                <c:pt idx="60">
                  <c:v>-4.152166367500449</c:v>
                </c:pt>
                <c:pt idx="61">
                  <c:v>-5.0294862837736005</c:v>
                </c:pt>
                <c:pt idx="62">
                  <c:v>-5.9064855923750557</c:v>
                </c:pt>
                <c:pt idx="63">
                  <c:v>-6.777841431154819</c:v>
                </c:pt>
                <c:pt idx="64">
                  <c:v>-7.6412684928735999</c:v>
                </c:pt>
                <c:pt idx="65">
                  <c:v>-8.4963187585890729</c:v>
                </c:pt>
                <c:pt idx="66">
                  <c:v>-9.3436284153643818</c:v>
                </c:pt>
                <c:pt idx="67">
                  <c:v>-10.184463791179633</c:v>
                </c:pt>
                <c:pt idx="68">
                  <c:v>-11.02046001047864</c:v>
                </c:pt>
                <c:pt idx="69">
                  <c:v>-11.853482388068937</c:v>
                </c:pt>
                <c:pt idx="70">
                  <c:v>-12.685566746966323</c:v>
                </c:pt>
                <c:pt idx="71">
                  <c:v>-13.518912438330108</c:v>
                </c:pt>
                <c:pt idx="72">
                  <c:v>-14.355913495764513</c:v>
                </c:pt>
                <c:pt idx="73">
                  <c:v>-15.199221338779491</c:v>
                </c:pt>
                <c:pt idx="74">
                  <c:v>-16.051838464487115</c:v>
                </c:pt>
                <c:pt idx="75">
                  <c:v>-16.917247971681284</c:v>
                </c:pt>
                <c:pt idx="76">
                  <c:v>-17.799589785759345</c:v>
                </c:pt>
                <c:pt idx="77">
                  <c:v>-18.703902578483024</c:v>
                </c:pt>
                <c:pt idx="78">
                  <c:v>-19.636462845330158</c:v>
                </c:pt>
                <c:pt idx="79">
                  <c:v>-20.605273361213758</c:v>
                </c:pt>
                <c:pt idx="80">
                  <c:v>-21.620789897647139</c:v>
                </c:pt>
                <c:pt idx="81">
                  <c:v>-22.697043395181183</c:v>
                </c:pt>
                <c:pt idx="82">
                  <c:v>-23.85344953906213</c:v>
                </c:pt>
                <c:pt idx="83">
                  <c:v>-25.117881746647157</c:v>
                </c:pt>
                <c:pt idx="84">
                  <c:v>-26.532232785831134</c:v>
                </c:pt>
                <c:pt idx="85">
                  <c:v>-28.163333521738718</c:v>
                </c:pt>
                <c:pt idx="86">
                  <c:v>-30.126855309609184</c:v>
                </c:pt>
                <c:pt idx="87">
                  <c:v>-32.648441940614617</c:v>
                </c:pt>
                <c:pt idx="88">
                  <c:v>-36.263755767640788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1-4B1C-8286-57630E2F6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36479"/>
        <c:axId val="1"/>
      </c:scatterChart>
      <c:valAx>
        <c:axId val="165853647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536479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Pole-zero plot</a:t>
            </a:r>
          </a:p>
        </c:rich>
      </c:tx>
      <c:layout>
        <c:manualLayout>
          <c:xMode val="edge"/>
          <c:yMode val="edge"/>
          <c:x val="0.41996865499726199"/>
          <c:y val="2.86259771067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9830096793659"/>
          <c:y val="0.21756453766621353"/>
          <c:w val="0.69828338282724045"/>
          <c:h val="0.63742592614487126"/>
        </c:manualLayout>
      </c:layout>
      <c:scatterChart>
        <c:scatterStyle val="lineMarker"/>
        <c:varyColors val="0"/>
        <c:ser>
          <c:idx val="0"/>
          <c:order val="0"/>
          <c:tx>
            <c:v>Poles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'BPF2'!$AJ$1:$AK$1</c:f>
              <c:numCache>
                <c:formatCode>0.00000000000000</c:formatCode>
                <c:ptCount val="2"/>
                <c:pt idx="0">
                  <c:v>0.93070422226605498</c:v>
                </c:pt>
                <c:pt idx="1">
                  <c:v>0.93070422226605498</c:v>
                </c:pt>
              </c:numCache>
            </c:numRef>
          </c:xVal>
          <c:yVal>
            <c:numRef>
              <c:f>'BPF2'!$AJ$2:$AK$2</c:f>
              <c:numCache>
                <c:formatCode>0.00000000000000</c:formatCode>
                <c:ptCount val="2"/>
                <c:pt idx="0">
                  <c:v>0.10611369034991493</c:v>
                </c:pt>
                <c:pt idx="1">
                  <c:v>-0.10611369034991493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3-4481-B3EC-8218EA36942D}"/>
            </c:ext>
          </c:extLst>
        </c:ser>
        <c:ser>
          <c:idx val="1"/>
          <c:order val="1"/>
          <c:tx>
            <c:v>Zeros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'BPF2'!$AJ$4:$AK$4</c:f>
              <c:numCache>
                <c:formatCode>0.00000000000000</c:formatCode>
                <c:ptCount val="2"/>
                <c:pt idx="0">
                  <c:v>-3.7533717598928398E-3</c:v>
                </c:pt>
                <c:pt idx="1">
                  <c:v>-3.7533717598928398E-3</c:v>
                </c:pt>
              </c:numCache>
            </c:numRef>
          </c:xVal>
          <c:yVal>
            <c:numRef>
              <c:f>'BPF2'!$AJ$5:$AK$5</c:f>
              <c:numCache>
                <c:formatCode>0.00000000000000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3-4481-B3EC-8218EA36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03631"/>
        <c:axId val="1"/>
      </c:scatterChart>
      <c:valAx>
        <c:axId val="1658903631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Real part</a:t>
                </a:r>
              </a:p>
            </c:rich>
          </c:tx>
          <c:layout>
            <c:manualLayout>
              <c:xMode val="edge"/>
              <c:yMode val="edge"/>
              <c:x val="0.42630770973772164"/>
              <c:y val="0.931297616836008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 val="autoZero"/>
        <c:crossBetween val="midCat"/>
        <c:majorUnit val="0.5"/>
        <c:minorUnit val="4.0000000000000022E-2"/>
      </c:valAx>
      <c:valAx>
        <c:axId val="1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Imaginary part</a:t>
                </a:r>
              </a:p>
            </c:rich>
          </c:tx>
          <c:layout>
            <c:manualLayout>
              <c:xMode val="edge"/>
              <c:yMode val="edge"/>
              <c:x val="2.3771785721029472E-2"/>
              <c:y val="0.444656577637414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8903631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HK"/>
    </a:p>
  </c:txPr>
  <c:printSettings>
    <c:headerFooter alignWithMargins="0"/>
    <c:pageMargins b="1" l="0.75000000000000078" r="0.75000000000000078" t="1" header="0.5" footer="0.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/>
              <a:t>Frequency response</a:t>
            </a:r>
          </a:p>
        </c:rich>
      </c:tx>
      <c:layout>
        <c:manualLayout>
          <c:xMode val="edge"/>
          <c:yMode val="edge"/>
          <c:x val="0.38047207040296432"/>
          <c:y val="2.9288904104378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0271029209346"/>
          <c:y val="0.20774589276939204"/>
          <c:w val="0.82747291272327805"/>
          <c:h val="0.57435629177420156"/>
        </c:manualLayout>
      </c:layout>
      <c:scatterChart>
        <c:scatterStyle val="lineMarker"/>
        <c:varyColors val="0"/>
        <c:ser>
          <c:idx val="3"/>
          <c:order val="0"/>
          <c:tx>
            <c:v>Digital coefficients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notch!$S$8:$S$97</c:f>
              <c:numCache>
                <c:formatCode>#,##0</c:formatCode>
                <c:ptCount val="90"/>
                <c:pt idx="0" formatCode="General">
                  <c:v>10</c:v>
                </c:pt>
                <c:pt idx="1">
                  <c:v>10.905077326652577</c:v>
                </c:pt>
                <c:pt idx="2">
                  <c:v>11.892071150027212</c:v>
                </c:pt>
                <c:pt idx="3">
                  <c:v>12.968395546510099</c:v>
                </c:pt>
                <c:pt idx="4">
                  <c:v>14.142135623730953</c:v>
                </c:pt>
                <c:pt idx="5">
                  <c:v>15.422108254079411</c:v>
                </c:pt>
                <c:pt idx="6">
                  <c:v>16.817928305074293</c:v>
                </c:pt>
                <c:pt idx="7">
                  <c:v>18.340080864093427</c:v>
                </c:pt>
                <c:pt idx="8">
                  <c:v>20.000000000000004</c:v>
                </c:pt>
                <c:pt idx="9">
                  <c:v>21.810154653305158</c:v>
                </c:pt>
                <c:pt idx="10">
                  <c:v>23.784142300054427</c:v>
                </c:pt>
                <c:pt idx="11">
                  <c:v>25.936791093020201</c:v>
                </c:pt>
                <c:pt idx="12">
                  <c:v>28.284271247461909</c:v>
                </c:pt>
                <c:pt idx="13">
                  <c:v>30.844216508158826</c:v>
                </c:pt>
                <c:pt idx="14">
                  <c:v>33.635856610148593</c:v>
                </c:pt>
                <c:pt idx="15">
                  <c:v>36.68016172818686</c:v>
                </c:pt>
                <c:pt idx="16">
                  <c:v>40.000000000000014</c:v>
                </c:pt>
                <c:pt idx="17">
                  <c:v>43.620309306610324</c:v>
                </c:pt>
                <c:pt idx="18">
                  <c:v>47.568284600108861</c:v>
                </c:pt>
                <c:pt idx="19">
                  <c:v>51.873582186040409</c:v>
                </c:pt>
                <c:pt idx="20">
                  <c:v>56.568542494923825</c:v>
                </c:pt>
                <c:pt idx="21">
                  <c:v>61.68843301631766</c:v>
                </c:pt>
                <c:pt idx="22">
                  <c:v>67.271713220297201</c:v>
                </c:pt>
                <c:pt idx="23">
                  <c:v>73.360323456373735</c:v>
                </c:pt>
                <c:pt idx="24">
                  <c:v>80.000000000000043</c:v>
                </c:pt>
                <c:pt idx="25">
                  <c:v>87.240618613220661</c:v>
                </c:pt>
                <c:pt idx="26">
                  <c:v>95.136569200217735</c:v>
                </c:pt>
                <c:pt idx="27">
                  <c:v>103.74716437208083</c:v>
                </c:pt>
                <c:pt idx="28">
                  <c:v>113.13708498984766</c:v>
                </c:pt>
                <c:pt idx="29">
                  <c:v>123.37686603263533</c:v>
                </c:pt>
                <c:pt idx="30">
                  <c:v>134.5434264405944</c:v>
                </c:pt>
                <c:pt idx="31">
                  <c:v>146.72064691274747</c:v>
                </c:pt>
                <c:pt idx="32">
                  <c:v>160.00000000000009</c:v>
                </c:pt>
                <c:pt idx="33">
                  <c:v>174.48123722644132</c:v>
                </c:pt>
                <c:pt idx="34">
                  <c:v>190.27313840043547</c:v>
                </c:pt>
                <c:pt idx="35">
                  <c:v>207.49432874416166</c:v>
                </c:pt>
                <c:pt idx="36">
                  <c:v>226.27416997969533</c:v>
                </c:pt>
                <c:pt idx="37">
                  <c:v>246.75373206527067</c:v>
                </c:pt>
                <c:pt idx="38">
                  <c:v>269.0868528811888</c:v>
                </c:pt>
                <c:pt idx="39">
                  <c:v>293.44129382549494</c:v>
                </c:pt>
                <c:pt idx="40">
                  <c:v>320.00000000000017</c:v>
                </c:pt>
                <c:pt idx="41">
                  <c:v>348.96247445288265</c:v>
                </c:pt>
                <c:pt idx="42">
                  <c:v>380.54627680087094</c:v>
                </c:pt>
                <c:pt idx="43">
                  <c:v>414.98865748832333</c:v>
                </c:pt>
                <c:pt idx="44">
                  <c:v>452.54833995939066</c:v>
                </c:pt>
                <c:pt idx="45">
                  <c:v>493.50746413054134</c:v>
                </c:pt>
                <c:pt idx="46">
                  <c:v>538.17370576237761</c:v>
                </c:pt>
                <c:pt idx="47">
                  <c:v>586.88258765098988</c:v>
                </c:pt>
                <c:pt idx="48">
                  <c:v>640.00000000000034</c:v>
                </c:pt>
                <c:pt idx="49">
                  <c:v>697.92494890576529</c:v>
                </c:pt>
                <c:pt idx="50">
                  <c:v>761.09255360174188</c:v>
                </c:pt>
                <c:pt idx="51">
                  <c:v>829.97731497664665</c:v>
                </c:pt>
                <c:pt idx="52">
                  <c:v>905.09667991878132</c:v>
                </c:pt>
                <c:pt idx="53">
                  <c:v>987.01492826108267</c:v>
                </c:pt>
                <c:pt idx="54">
                  <c:v>1076.3474115247552</c:v>
                </c:pt>
                <c:pt idx="55">
                  <c:v>1173.7651753019798</c:v>
                </c:pt>
                <c:pt idx="56">
                  <c:v>1280.0000000000007</c:v>
                </c:pt>
                <c:pt idx="57">
                  <c:v>1395.8498978115306</c:v>
                </c:pt>
                <c:pt idx="58">
                  <c:v>1522.1851072034838</c:v>
                </c:pt>
                <c:pt idx="59">
                  <c:v>1659.9546299532933</c:v>
                </c:pt>
                <c:pt idx="60">
                  <c:v>1810.1933598375626</c:v>
                </c:pt>
                <c:pt idx="61">
                  <c:v>1974.0298565221653</c:v>
                </c:pt>
                <c:pt idx="62">
                  <c:v>2152.6948230495104</c:v>
                </c:pt>
                <c:pt idx="63">
                  <c:v>2347.5303506039595</c:v>
                </c:pt>
                <c:pt idx="64">
                  <c:v>2560.0000000000014</c:v>
                </c:pt>
                <c:pt idx="65">
                  <c:v>2791.6997956230612</c:v>
                </c:pt>
                <c:pt idx="66">
                  <c:v>3044.3702144069675</c:v>
                </c:pt>
                <c:pt idx="67">
                  <c:v>3319.9092599065866</c:v>
                </c:pt>
                <c:pt idx="68">
                  <c:v>3620.3867196751253</c:v>
                </c:pt>
                <c:pt idx="69">
                  <c:v>3948.0597130443307</c:v>
                </c:pt>
                <c:pt idx="70">
                  <c:v>4305.3896460990209</c:v>
                </c:pt>
                <c:pt idx="71">
                  <c:v>4695.060701207919</c:v>
                </c:pt>
                <c:pt idx="72">
                  <c:v>5120.0000000000027</c:v>
                </c:pt>
                <c:pt idx="73">
                  <c:v>5583.3995912461223</c:v>
                </c:pt>
                <c:pt idx="74">
                  <c:v>6088.7404288139351</c:v>
                </c:pt>
                <c:pt idx="75">
                  <c:v>6639.8185198131732</c:v>
                </c:pt>
                <c:pt idx="76">
                  <c:v>7240.7734393502506</c:v>
                </c:pt>
                <c:pt idx="77">
                  <c:v>7896.1194260886614</c:v>
                </c:pt>
                <c:pt idx="78">
                  <c:v>8610.7792921980417</c:v>
                </c:pt>
                <c:pt idx="79">
                  <c:v>9390.121402415838</c:v>
                </c:pt>
                <c:pt idx="80">
                  <c:v>10240.000000000005</c:v>
                </c:pt>
                <c:pt idx="81">
                  <c:v>11166.799182492245</c:v>
                </c:pt>
                <c:pt idx="82">
                  <c:v>12177.48085762787</c:v>
                </c:pt>
                <c:pt idx="83">
                  <c:v>13279.637039626346</c:v>
                </c:pt>
                <c:pt idx="84">
                  <c:v>14481.546878700501</c:v>
                </c:pt>
                <c:pt idx="85">
                  <c:v>15792.238852177323</c:v>
                </c:pt>
                <c:pt idx="86">
                  <c:v>17221.558584396083</c:v>
                </c:pt>
                <c:pt idx="87">
                  <c:v>18780.242804831676</c:v>
                </c:pt>
                <c:pt idx="88">
                  <c:v>20480.000000000011</c:v>
                </c:pt>
              </c:numCache>
            </c:numRef>
          </c:xVal>
          <c:yVal>
            <c:numRef>
              <c:f>notch!$V$8:$V$97</c:f>
              <c:numCache>
                <c:formatCode>0.00</c:formatCode>
                <c:ptCount val="90"/>
                <c:pt idx="0">
                  <c:v>-4.3311966214076847E-4</c:v>
                </c:pt>
                <c:pt idx="1">
                  <c:v>-5.1508358892959905E-4</c:v>
                </c:pt>
                <c:pt idx="2">
                  <c:v>-6.1256172418922006E-4</c:v>
                </c:pt>
                <c:pt idx="3">
                  <c:v>-7.2849197318447523E-4</c:v>
                </c:pt>
                <c:pt idx="4">
                  <c:v>-8.6636915241200541E-4</c:v>
                </c:pt>
                <c:pt idx="5">
                  <c:v>-1.0303507916304966E-3</c:v>
                </c:pt>
                <c:pt idx="6">
                  <c:v>-1.2253831328337128E-3</c:v>
                </c:pt>
                <c:pt idx="7">
                  <c:v>-1.4573512216671247E-3</c:v>
                </c:pt>
                <c:pt idx="8">
                  <c:v>-1.7332577544593164E-3</c:v>
                </c:pt>
                <c:pt idx="9">
                  <c:v>-2.0614362700044353E-3</c:v>
                </c:pt>
                <c:pt idx="10">
                  <c:v>-2.451805394287021E-3</c:v>
                </c:pt>
                <c:pt idx="11">
                  <c:v>-2.9161722029868997E-3</c:v>
                </c:pt>
                <c:pt idx="12">
                  <c:v>-3.4685944160912641E-3</c:v>
                </c:pt>
                <c:pt idx="13">
                  <c:v>-4.1258131529176012E-3</c:v>
                </c:pt>
                <c:pt idx="14">
                  <c:v>-4.9077704428981406E-3</c:v>
                </c:pt>
                <c:pt idx="15">
                  <c:v>-5.8382287272848998E-3</c:v>
                </c:pt>
                <c:pt idx="16">
                  <c:v>-6.94551334864002E-3</c:v>
                </c:pt>
                <c:pt idx="17">
                  <c:v>-8.263403710344619E-3</c:v>
                </c:pt>
                <c:pt idx="18">
                  <c:v>-9.8322046607179914E-3</c:v>
                </c:pt>
                <c:pt idx="19">
                  <c:v>-1.1700037068948177E-2</c:v>
                </c:pt>
                <c:pt idx="20">
                  <c:v>-1.3924395988887284E-2</c:v>
                </c:pt>
                <c:pt idx="21">
                  <c:v>-1.6574036898632016E-2</c:v>
                </c:pt>
                <c:pt idx="22">
                  <c:v>-1.9731266145342374E-2</c:v>
                </c:pt>
                <c:pt idx="23">
                  <c:v>-2.3494732142111729E-2</c:v>
                </c:pt>
                <c:pt idx="24">
                  <c:v>-2.79828407675069E-2</c:v>
                </c:pt>
                <c:pt idx="25">
                  <c:v>-3.3337954213081389E-2</c:v>
                </c:pt>
                <c:pt idx="26">
                  <c:v>-3.9731580623758589E-2</c:v>
                </c:pt>
                <c:pt idx="27">
                  <c:v>-4.7370827164314733E-2</c:v>
                </c:pt>
                <c:pt idx="28">
                  <c:v>-5.6506478678791439E-2</c:v>
                </c:pt>
                <c:pt idx="29">
                  <c:v>-6.7443188178508251E-2</c:v>
                </c:pt>
                <c:pt idx="30">
                  <c:v>-8.055243915186594E-2</c:v>
                </c:pt>
                <c:pt idx="31">
                  <c:v>-9.6289185692448598E-2</c:v>
                </c:pt>
                <c:pt idx="32">
                  <c:v>-0.11521342863897388</c:v>
                </c:pt>
                <c:pt idx="33">
                  <c:v>-0.13801849601850336</c:v>
                </c:pt>
                <c:pt idx="34">
                  <c:v>-0.16556854383078701</c:v>
                </c:pt>
                <c:pt idx="35">
                  <c:v>-0.19894890326776959</c:v>
                </c:pt>
                <c:pt idx="36">
                  <c:v>-0.23953457046228976</c:v>
                </c:pt>
                <c:pt idx="37">
                  <c:v>-0.28908468286685007</c:v>
                </c:pt>
                <c:pt idx="38">
                  <c:v>-0.3498747723631439</c:v>
                </c:pt>
                <c:pt idx="39">
                  <c:v>-0.42488479356015318</c:v>
                </c:pt>
                <c:pt idx="40">
                  <c:v>-0.51807085877206305</c:v>
                </c:pt>
                <c:pt idx="41">
                  <c:v>-0.63476479006476438</c:v>
                </c:pt>
                <c:pt idx="42">
                  <c:v>-0.78227246244929205</c:v>
                </c:pt>
                <c:pt idx="43">
                  <c:v>-0.97078747118757036</c:v>
                </c:pt>
                <c:pt idx="44">
                  <c:v>-1.2148158305411343</c:v>
                </c:pt>
                <c:pt idx="45">
                  <c:v>-1.5354492753950524</c:v>
                </c:pt>
                <c:pt idx="46">
                  <c:v>-1.9640900413446118</c:v>
                </c:pt>
                <c:pt idx="47">
                  <c:v>-2.5487602711011732</c:v>
                </c:pt>
                <c:pt idx="48">
                  <c:v>-3.3653097093081428</c:v>
                </c:pt>
                <c:pt idx="49">
                  <c:v>-4.5389356778484142</c:v>
                </c:pt>
                <c:pt idx="50">
                  <c:v>-6.2916005963791335</c:v>
                </c:pt>
                <c:pt idx="51">
                  <c:v>-9.0749751390961961</c:v>
                </c:pt>
                <c:pt idx="52">
                  <c:v>-14.138153442660581</c:v>
                </c:pt>
                <c:pt idx="53">
                  <c:v>-31.63204939432763</c:v>
                </c:pt>
                <c:pt idx="54">
                  <c:v>-16.704141754804148</c:v>
                </c:pt>
                <c:pt idx="55">
                  <c:v>-10.249339775714056</c:v>
                </c:pt>
                <c:pt idx="56">
                  <c:v>-6.9808948858791595</c:v>
                </c:pt>
                <c:pt idx="57">
                  <c:v>-4.9803624756195006</c:v>
                </c:pt>
                <c:pt idx="58">
                  <c:v>-3.6607927559799194</c:v>
                </c:pt>
                <c:pt idx="59">
                  <c:v>-2.752207947808234</c:v>
                </c:pt>
                <c:pt idx="60">
                  <c:v>-2.1070137900793391</c:v>
                </c:pt>
                <c:pt idx="61">
                  <c:v>-1.6373161170423636</c:v>
                </c:pt>
                <c:pt idx="62">
                  <c:v>-1.2881016634690141</c:v>
                </c:pt>
                <c:pt idx="63">
                  <c:v>-1.0237199485544508</c:v>
                </c:pt>
                <c:pt idx="64">
                  <c:v>-0.82041302686109674</c:v>
                </c:pt>
                <c:pt idx="65">
                  <c:v>-0.66195730704524891</c:v>
                </c:pt>
                <c:pt idx="66">
                  <c:v>-0.53702705498093195</c:v>
                </c:pt>
                <c:pt idx="67">
                  <c:v>-0.43755432523915694</c:v>
                </c:pt>
                <c:pt idx="68">
                  <c:v>-0.35768422204938766</c:v>
                </c:pt>
                <c:pt idx="69">
                  <c:v>-0.29309499863105337</c:v>
                </c:pt>
                <c:pt idx="70">
                  <c:v>-0.24054673168010154</c:v>
                </c:pt>
                <c:pt idx="71">
                  <c:v>-0.19757610592173513</c:v>
                </c:pt>
                <c:pt idx="72">
                  <c:v>-0.1622863572573916</c:v>
                </c:pt>
                <c:pt idx="73">
                  <c:v>-0.1332002898511595</c:v>
                </c:pt>
                <c:pt idx="74">
                  <c:v>-0.10915580168640382</c:v>
                </c:pt>
                <c:pt idx="75">
                  <c:v>-8.9230515300688484E-2</c:v>
                </c:pt>
                <c:pt idx="76">
                  <c:v>-7.2686640360791976E-2</c:v>
                </c:pt>
                <c:pt idx="77">
                  <c:v>-5.8930106639162427E-2</c:v>
                </c:pt>
                <c:pt idx="78">
                  <c:v>-4.7479906962651031E-2</c:v>
                </c:pt>
                <c:pt idx="79">
                  <c:v>-3.7944849645115353E-2</c:v>
                </c:pt>
                <c:pt idx="80">
                  <c:v>-3.0005767936833738E-2</c:v>
                </c:pt>
                <c:pt idx="81">
                  <c:v>-2.3401814748806871E-2</c:v>
                </c:pt>
                <c:pt idx="82">
                  <c:v>-1.7919877776021664E-2</c:v>
                </c:pt>
                <c:pt idx="83">
                  <c:v>-1.3386445894798982E-2</c:v>
                </c:pt>
                <c:pt idx="84">
                  <c:v>-9.6614879724601366E-3</c:v>
                </c:pt>
                <c:pt idx="85">
                  <c:v>-6.6341092988313477E-3</c:v>
                </c:pt>
                <c:pt idx="86">
                  <c:v>-4.2199738711836687E-3</c:v>
                </c:pt>
                <c:pt idx="87">
                  <c:v>-2.3607943200829595E-3</c:v>
                </c:pt>
                <c:pt idx="88">
                  <c:v>-1.026739027791379E-3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0-4FD5-9D05-8983DD7A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11791"/>
        <c:axId val="1"/>
      </c:scatterChart>
      <c:valAx>
        <c:axId val="1659411791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minorGridlines>
          <c:spPr>
            <a:ln w="3175">
              <a:solidFill>
                <a:srgbClr val="B3B3B3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633070866141735"/>
              <c:y val="0.87029373502225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TW"/>
                  <a:t>response [dB]</a:t>
                </a:r>
              </a:p>
            </c:rich>
          </c:tx>
          <c:layout>
            <c:manualLayout>
              <c:xMode val="edge"/>
              <c:yMode val="edge"/>
              <c:x val="3.030304153157326E-2"/>
              <c:y val="0.401674008140286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HK"/>
          </a:p>
        </c:txPr>
        <c:crossAx val="1659411791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8100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HK"/>
    </a:p>
  </c:txPr>
  <c:printSettings>
    <c:headerFooter alignWithMargins="0"/>
    <c:pageMargins b="1" l="0.75000000000000078" r="0.75000000000000078" t="1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0</xdr:row>
      <xdr:rowOff>38100</xdr:rowOff>
    </xdr:from>
    <xdr:to>
      <xdr:col>13</xdr:col>
      <xdr:colOff>571500</xdr:colOff>
      <xdr:row>17</xdr:row>
      <xdr:rowOff>127000</xdr:rowOff>
    </xdr:to>
    <xdr:graphicFrame macro="">
      <xdr:nvGraphicFramePr>
        <xdr:cNvPr id="146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279400</xdr:colOff>
      <xdr:row>39</xdr:row>
      <xdr:rowOff>104775</xdr:rowOff>
    </xdr:from>
    <xdr:to>
      <xdr:col>4</xdr:col>
      <xdr:colOff>530231</xdr:colOff>
      <xdr:row>43</xdr:row>
      <xdr:rowOff>101628</xdr:rowOff>
    </xdr:to>
    <xdr:pic>
      <xdr:nvPicPr>
        <xdr:cNvPr id="1033" name="Picture 9" descr="http://img.cmpnet.com/planetanalog/features/TI_IIR/EQ6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" y="8515350"/>
          <a:ext cx="3390900" cy="75247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238125</xdr:colOff>
      <xdr:row>44</xdr:row>
      <xdr:rowOff>139700</xdr:rowOff>
    </xdr:from>
    <xdr:to>
      <xdr:col>4</xdr:col>
      <xdr:colOff>544515</xdr:colOff>
      <xdr:row>54</xdr:row>
      <xdr:rowOff>82549</xdr:rowOff>
    </xdr:to>
    <xdr:pic>
      <xdr:nvPicPr>
        <xdr:cNvPr id="1034" name="Picture 10" descr="http://img.cmpnet.com/planetanalog/features/TI_IIR/Fig1.jp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62025" y="9477375"/>
          <a:ext cx="3440115" cy="184784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266700</xdr:colOff>
      <xdr:row>18</xdr:row>
      <xdr:rowOff>120650</xdr:rowOff>
    </xdr:from>
    <xdr:to>
      <xdr:col>7</xdr:col>
      <xdr:colOff>381000</xdr:colOff>
      <xdr:row>36</xdr:row>
      <xdr:rowOff>95250</xdr:rowOff>
    </xdr:to>
    <xdr:graphicFrame macro="">
      <xdr:nvGraphicFramePr>
        <xdr:cNvPr id="1469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0.24303</cdr:x>
      <cdr:y>0.32494</cdr:y>
    </cdr:from>
    <cdr:to>
      <cdr:x>0.71366</cdr:x>
      <cdr:y>0.75675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139700</xdr:rowOff>
    </xdr:from>
    <xdr:to>
      <xdr:col>16</xdr:col>
      <xdr:colOff>571500</xdr:colOff>
      <xdr:row>17</xdr:row>
      <xdr:rowOff>177800</xdr:rowOff>
    </xdr:to>
    <xdr:graphicFrame macro="">
      <xdr:nvGraphicFramePr>
        <xdr:cNvPr id="2397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18</xdr:row>
      <xdr:rowOff>127000</xdr:rowOff>
    </xdr:from>
    <xdr:to>
      <xdr:col>10</xdr:col>
      <xdr:colOff>114300</xdr:colOff>
      <xdr:row>36</xdr:row>
      <xdr:rowOff>146050</xdr:rowOff>
    </xdr:to>
    <xdr:graphicFrame macro="">
      <xdr:nvGraphicFramePr>
        <xdr:cNvPr id="23974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177800</xdr:rowOff>
    </xdr:from>
    <xdr:to>
      <xdr:col>16</xdr:col>
      <xdr:colOff>279400</xdr:colOff>
      <xdr:row>36</xdr:row>
      <xdr:rowOff>107950</xdr:rowOff>
    </xdr:to>
    <xdr:graphicFrame macro="">
      <xdr:nvGraphicFramePr>
        <xdr:cNvPr id="239741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431800</xdr:colOff>
      <xdr:row>0</xdr:row>
      <xdr:rowOff>177800</xdr:rowOff>
    </xdr:from>
    <xdr:to>
      <xdr:col>10</xdr:col>
      <xdr:colOff>88900</xdr:colOff>
      <xdr:row>17</xdr:row>
      <xdr:rowOff>158750</xdr:rowOff>
    </xdr:to>
    <xdr:graphicFrame macro="">
      <xdr:nvGraphicFramePr>
        <xdr:cNvPr id="239742" name="圖表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0.24256</cdr:x>
      <cdr:y>0.3266</cdr:y>
    </cdr:from>
    <cdr:to>
      <cdr:x>0.71463</cdr:x>
      <cdr:y>0.7541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590550</xdr:colOff>
      <xdr:row>17</xdr:row>
      <xdr:rowOff>57150</xdr:rowOff>
    </xdr:to>
    <xdr:graphicFrame macro="">
      <xdr:nvGraphicFramePr>
        <xdr:cNvPr id="9482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158750</xdr:rowOff>
    </xdr:from>
    <xdr:to>
      <xdr:col>9</xdr:col>
      <xdr:colOff>50800</xdr:colOff>
      <xdr:row>35</xdr:row>
      <xdr:rowOff>165100</xdr:rowOff>
    </xdr:to>
    <xdr:graphicFrame macro="">
      <xdr:nvGraphicFramePr>
        <xdr:cNvPr id="948228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0.24303</cdr:x>
      <cdr:y>0.32494</cdr:y>
    </cdr:from>
    <cdr:to>
      <cdr:x>0.71414</cdr:x>
      <cdr:y>0.75675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44450</xdr:rowOff>
    </xdr:from>
    <xdr:to>
      <xdr:col>13</xdr:col>
      <xdr:colOff>590550</xdr:colOff>
      <xdr:row>17</xdr:row>
      <xdr:rowOff>76200</xdr:rowOff>
    </xdr:to>
    <xdr:graphicFrame macro="">
      <xdr:nvGraphicFramePr>
        <xdr:cNvPr id="1004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18</xdr:row>
      <xdr:rowOff>19050</xdr:rowOff>
    </xdr:from>
    <xdr:to>
      <xdr:col>8</xdr:col>
      <xdr:colOff>533400</xdr:colOff>
      <xdr:row>35</xdr:row>
      <xdr:rowOff>120650</xdr:rowOff>
    </xdr:to>
    <xdr:graphicFrame macro="">
      <xdr:nvGraphicFramePr>
        <xdr:cNvPr id="100500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0.24351</cdr:x>
      <cdr:y>0.33023</cdr:y>
    </cdr:from>
    <cdr:to>
      <cdr:x>0.71318</cdr:x>
      <cdr:y>0.75483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603250</xdr:colOff>
      <xdr:row>17</xdr:row>
      <xdr:rowOff>57150</xdr:rowOff>
    </xdr:to>
    <xdr:graphicFrame macro="">
      <xdr:nvGraphicFramePr>
        <xdr:cNvPr id="9543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17</xdr:row>
      <xdr:rowOff>177800</xdr:rowOff>
    </xdr:from>
    <xdr:to>
      <xdr:col>9</xdr:col>
      <xdr:colOff>57150</xdr:colOff>
      <xdr:row>36</xdr:row>
      <xdr:rowOff>0</xdr:rowOff>
    </xdr:to>
    <xdr:graphicFrame macro="">
      <xdr:nvGraphicFramePr>
        <xdr:cNvPr id="954372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0.24303</cdr:x>
      <cdr:y>0.32494</cdr:y>
    </cdr:from>
    <cdr:to>
      <cdr:x>0.71366</cdr:x>
      <cdr:y>0.75675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584200</xdr:colOff>
      <xdr:row>17</xdr:row>
      <xdr:rowOff>57150</xdr:rowOff>
    </xdr:to>
    <xdr:graphicFrame macro="">
      <xdr:nvGraphicFramePr>
        <xdr:cNvPr id="96051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18</xdr:row>
      <xdr:rowOff>6350</xdr:rowOff>
    </xdr:from>
    <xdr:to>
      <xdr:col>9</xdr:col>
      <xdr:colOff>31750</xdr:colOff>
      <xdr:row>36</xdr:row>
      <xdr:rowOff>19050</xdr:rowOff>
    </xdr:to>
    <xdr:graphicFrame macro="">
      <xdr:nvGraphicFramePr>
        <xdr:cNvPr id="960516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</cdr:x>
      <cdr:y>0.32117</cdr:y>
    </cdr:from>
    <cdr:to>
      <cdr:x>0.71448</cdr:x>
      <cdr:y>0.74912</cdr:y>
    </cdr:to>
    <cdr:sp macro="" textlink="">
      <cdr:nvSpPr>
        <cdr:cNvPr id="3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4425" y="1428750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0.24303</cdr:x>
      <cdr:y>0.32446</cdr:y>
    </cdr:from>
    <cdr:to>
      <cdr:x>0.71414</cdr:x>
      <cdr:y>0.75699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603250</xdr:colOff>
      <xdr:row>17</xdr:row>
      <xdr:rowOff>127000</xdr:rowOff>
    </xdr:to>
    <xdr:graphicFrame macro="">
      <xdr:nvGraphicFramePr>
        <xdr:cNvPr id="533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18</xdr:row>
      <xdr:rowOff>57150</xdr:rowOff>
    </xdr:from>
    <xdr:to>
      <xdr:col>12</xdr:col>
      <xdr:colOff>247650</xdr:colOff>
      <xdr:row>45</xdr:row>
      <xdr:rowOff>158750</xdr:rowOff>
    </xdr:to>
    <xdr:graphicFrame macro="">
      <xdr:nvGraphicFramePr>
        <xdr:cNvPr id="533585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0.2101</cdr:x>
      <cdr:y>0.28826</cdr:y>
    </cdr:from>
    <cdr:to>
      <cdr:x>0.72433</cdr:x>
      <cdr:y>0.78414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146050</xdr:rowOff>
    </xdr:from>
    <xdr:to>
      <xdr:col>13</xdr:col>
      <xdr:colOff>603250</xdr:colOff>
      <xdr:row>19</xdr:row>
      <xdr:rowOff>0</xdr:rowOff>
    </xdr:to>
    <xdr:graphicFrame macro="">
      <xdr:nvGraphicFramePr>
        <xdr:cNvPr id="225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19</xdr:row>
      <xdr:rowOff>107950</xdr:rowOff>
    </xdr:from>
    <xdr:to>
      <xdr:col>9</xdr:col>
      <xdr:colOff>165100</xdr:colOff>
      <xdr:row>37</xdr:row>
      <xdr:rowOff>165100</xdr:rowOff>
    </xdr:to>
    <xdr:graphicFrame macro="">
      <xdr:nvGraphicFramePr>
        <xdr:cNvPr id="2252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0.24291</cdr:x>
      <cdr:y>0.31975</cdr:y>
    </cdr:from>
    <cdr:to>
      <cdr:x>0.71642</cdr:x>
      <cdr:y>0.75443</cdr:y>
    </cdr:to>
    <cdr:sp macro="" textlink="">
      <cdr:nvSpPr>
        <cdr:cNvPr id="3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4425" y="1428750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603250</xdr:colOff>
      <xdr:row>17</xdr:row>
      <xdr:rowOff>57150</xdr:rowOff>
    </xdr:to>
    <xdr:graphicFrame macro="">
      <xdr:nvGraphicFramePr>
        <xdr:cNvPr id="107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18</xdr:row>
      <xdr:rowOff>0</xdr:rowOff>
    </xdr:from>
    <xdr:to>
      <xdr:col>9</xdr:col>
      <xdr:colOff>38100</xdr:colOff>
      <xdr:row>36</xdr:row>
      <xdr:rowOff>6350</xdr:rowOff>
    </xdr:to>
    <xdr:graphicFrame macro="">
      <xdr:nvGraphicFramePr>
        <xdr:cNvPr id="107726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0.24303</cdr:x>
      <cdr:y>0.31792</cdr:y>
    </cdr:from>
    <cdr:to>
      <cdr:x>0.71366</cdr:x>
      <cdr:y>0.75675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603250</xdr:colOff>
      <xdr:row>17</xdr:row>
      <xdr:rowOff>57150</xdr:rowOff>
    </xdr:to>
    <xdr:graphicFrame macro="">
      <xdr:nvGraphicFramePr>
        <xdr:cNvPr id="9359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18</xdr:row>
      <xdr:rowOff>6350</xdr:rowOff>
    </xdr:from>
    <xdr:to>
      <xdr:col>9</xdr:col>
      <xdr:colOff>38100</xdr:colOff>
      <xdr:row>36</xdr:row>
      <xdr:rowOff>19050</xdr:rowOff>
    </xdr:to>
    <xdr:graphicFrame macro="">
      <xdr:nvGraphicFramePr>
        <xdr:cNvPr id="935940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0.24303</cdr:x>
      <cdr:y>0.32252</cdr:y>
    </cdr:from>
    <cdr:to>
      <cdr:x>0.71366</cdr:x>
      <cdr:y>0.75699</cdr:y>
    </cdr:to>
    <cdr:sp macro="" textlink="">
      <cdr:nvSpPr>
        <cdr:cNvPr id="4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4900" y="1438275"/>
          <a:ext cx="2725906" cy="267069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13</xdr:col>
      <xdr:colOff>590550</xdr:colOff>
      <xdr:row>17</xdr:row>
      <xdr:rowOff>57150</xdr:rowOff>
    </xdr:to>
    <xdr:graphicFrame macro="">
      <xdr:nvGraphicFramePr>
        <xdr:cNvPr id="94208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18</xdr:row>
      <xdr:rowOff>19050</xdr:rowOff>
    </xdr:from>
    <xdr:to>
      <xdr:col>9</xdr:col>
      <xdr:colOff>38100</xdr:colOff>
      <xdr:row>36</xdr:row>
      <xdr:rowOff>25400</xdr:rowOff>
    </xdr:to>
    <xdr:graphicFrame macro="">
      <xdr:nvGraphicFramePr>
        <xdr:cNvPr id="94208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9"/>
  <sheetViews>
    <sheetView workbookViewId="0">
      <selection activeCell="B3" sqref="B3"/>
    </sheetView>
  </sheetViews>
  <sheetFormatPr defaultRowHeight="14.5" x14ac:dyDescent="0.35"/>
  <cols>
    <col min="2" max="2" width="19.54296875" bestFit="1" customWidth="1"/>
    <col min="6" max="6" width="15.26953125" customWidth="1"/>
    <col min="7" max="7" width="14.81640625" customWidth="1"/>
    <col min="8" max="8" width="15.1796875" customWidth="1"/>
    <col min="26" max="26" width="19.54296875" bestFit="1" customWidth="1"/>
    <col min="28" max="28" width="19.81640625" customWidth="1"/>
    <col min="29" max="29" width="10.54296875" bestFit="1" customWidth="1"/>
    <col min="30" max="30" width="22.7265625" customWidth="1"/>
    <col min="31" max="31" width="21.7265625" bestFit="1" customWidth="1"/>
    <col min="34" max="35" width="17.54296875" bestFit="1" customWidth="1"/>
  </cols>
  <sheetData>
    <row r="1" spans="1:35" x14ac:dyDescent="0.35">
      <c r="R1" t="s">
        <v>0</v>
      </c>
      <c r="Y1" t="s">
        <v>19</v>
      </c>
      <c r="Z1">
        <v>1</v>
      </c>
      <c r="AA1" t="s">
        <v>22</v>
      </c>
      <c r="AB1" s="31">
        <f>($B$26+$B$34*$B$27+($B$34^2)*$B$28)/$B$35</f>
        <v>0.99971371852344559</v>
      </c>
      <c r="AC1" t="s">
        <v>42</v>
      </c>
      <c r="AD1" s="22">
        <f>Z2^2-4*Z1*Z3</f>
        <v>4.4408920985006262E-15</v>
      </c>
      <c r="AE1" s="22">
        <f>B20^2-4*B19*B21</f>
        <v>-1.7080799738389274E-4</v>
      </c>
      <c r="AG1" t="s">
        <v>48</v>
      </c>
      <c r="AH1" s="22">
        <f>IF(AD1&lt;0,AD5,AD2)</f>
        <v>0.99673281273639558</v>
      </c>
      <c r="AI1" s="22">
        <f>IF(AD1&lt;0,AD5,AD2)</f>
        <v>0.99673281273639558</v>
      </c>
    </row>
    <row r="2" spans="1:35" x14ac:dyDescent="0.35">
      <c r="A2" s="1" t="s">
        <v>1</v>
      </c>
      <c r="R2" t="s">
        <v>2</v>
      </c>
      <c r="Y2" t="s">
        <v>20</v>
      </c>
      <c r="Z2" s="22">
        <f>ROUND(-B16,14)</f>
        <v>-1.99346569211281</v>
      </c>
      <c r="AA2" t="s">
        <v>23</v>
      </c>
      <c r="AB2" s="31">
        <f>2*($B$26-($B$34^2)*$B$28)/$B$35</f>
        <v>-1.9934451974666221</v>
      </c>
      <c r="AC2" t="s">
        <v>43</v>
      </c>
      <c r="AD2" s="22">
        <f>(-Z2-SQRT(AD1))/2*Z1</f>
        <v>0.99673281273639558</v>
      </c>
      <c r="AE2" s="22" t="e">
        <f>(-B20-SQRT(AE1))/2*B19</f>
        <v>#NUM!</v>
      </c>
      <c r="AH2" s="22">
        <f>IF(AD1&lt;0,AD6,0)</f>
        <v>0</v>
      </c>
      <c r="AI2" s="22">
        <f>IF(AD1&lt;0,-AD6,0)</f>
        <v>0</v>
      </c>
    </row>
    <row r="3" spans="1:35" x14ac:dyDescent="0.35">
      <c r="A3" t="s">
        <v>3</v>
      </c>
      <c r="B3" s="2">
        <v>55</v>
      </c>
      <c r="R3" t="s">
        <v>5</v>
      </c>
      <c r="Y3" t="s">
        <v>21</v>
      </c>
      <c r="Z3" s="22">
        <f>ROUND(-B17,14)</f>
        <v>0.99347636640769998</v>
      </c>
      <c r="AA3" t="s">
        <v>24</v>
      </c>
      <c r="AB3" s="31">
        <f>($B$26-$B$34*$B$27+($B$34^2)*$B$28)/$B$35</f>
        <v>0.99378314253044941</v>
      </c>
      <c r="AC3" t="s">
        <v>44</v>
      </c>
      <c r="AD3" s="22">
        <f>(-Z2-SQRT(AD1))/2*Z1</f>
        <v>0.99673281273639558</v>
      </c>
      <c r="AE3" s="22" t="e">
        <f>(-B20-SQRT(AE1))/2*B19</f>
        <v>#NUM!</v>
      </c>
    </row>
    <row r="4" spans="1:35" x14ac:dyDescent="0.35">
      <c r="A4" t="s">
        <v>6</v>
      </c>
      <c r="B4" s="2">
        <v>1.21</v>
      </c>
      <c r="AD4" s="22"/>
      <c r="AE4" s="22"/>
      <c r="AG4" t="s">
        <v>49</v>
      </c>
      <c r="AH4" s="22">
        <f>IF(AE1&lt;0,AE5,AE2)</f>
        <v>0.99700802366246177</v>
      </c>
      <c r="AI4" s="22">
        <f>IF(AE1&lt;0,AE5,AE2)</f>
        <v>0.99700802366246177</v>
      </c>
    </row>
    <row r="5" spans="1:35" x14ac:dyDescent="0.35">
      <c r="A5" t="s">
        <v>7</v>
      </c>
      <c r="B5" s="2">
        <v>25</v>
      </c>
      <c r="C5" s="14" t="s">
        <v>4</v>
      </c>
      <c r="T5" s="3" t="s">
        <v>8</v>
      </c>
      <c r="U5" s="4" t="s">
        <v>9</v>
      </c>
      <c r="AC5" t="s">
        <v>45</v>
      </c>
      <c r="AD5" s="22">
        <f>-Z2/(2*Z1)</f>
        <v>0.996732846056405</v>
      </c>
      <c r="AE5" s="22">
        <f>-B20/(2*B19)</f>
        <v>0.99700802366246177</v>
      </c>
      <c r="AF5" s="1"/>
      <c r="AH5" s="22">
        <f>IF(AE1&lt;0,AE6,0)</f>
        <v>6.5365479751949692E-3</v>
      </c>
      <c r="AI5" s="22">
        <f>IF(AE1&lt;0,-AE6,0)</f>
        <v>-6.5365479751949692E-3</v>
      </c>
    </row>
    <row r="6" spans="1:35" x14ac:dyDescent="0.35">
      <c r="A6" t="s">
        <v>10</v>
      </c>
      <c r="B6" s="2">
        <v>0.5</v>
      </c>
      <c r="S6" s="5" t="s">
        <v>11</v>
      </c>
      <c r="T6" s="3" t="s">
        <v>12</v>
      </c>
      <c r="U6" s="4" t="s">
        <v>13</v>
      </c>
      <c r="V6" s="16" t="s">
        <v>37</v>
      </c>
      <c r="W6" s="17" t="s">
        <v>36</v>
      </c>
      <c r="X6" s="17" t="s">
        <v>35</v>
      </c>
      <c r="Y6" s="17" t="s">
        <v>38</v>
      </c>
      <c r="Z6" s="17"/>
      <c r="AA6" s="17"/>
      <c r="AB6" s="17"/>
      <c r="AC6" t="s">
        <v>46</v>
      </c>
      <c r="AD6" s="22" t="e">
        <f>SQRT(-AD1)/(2*Z1)</f>
        <v>#NUM!</v>
      </c>
      <c r="AE6" s="22">
        <f>SQRT(-AE1)/(2*B19)</f>
        <v>6.5365479751949692E-3</v>
      </c>
    </row>
    <row r="7" spans="1:35" x14ac:dyDescent="0.35">
      <c r="B7" s="6"/>
      <c r="S7" s="7" t="s">
        <v>4</v>
      </c>
      <c r="T7" s="8" t="s">
        <v>14</v>
      </c>
      <c r="U7" s="7" t="s">
        <v>14</v>
      </c>
      <c r="V7" s="7" t="s">
        <v>14</v>
      </c>
      <c r="Y7" s="17" t="s">
        <v>14</v>
      </c>
      <c r="Z7" s="16"/>
      <c r="AA7" s="16"/>
      <c r="AB7" s="16"/>
      <c r="AC7" t="s">
        <v>47</v>
      </c>
      <c r="AD7" s="22" t="e">
        <f>SQRT(AD5^2+AD6^2)</f>
        <v>#NUM!</v>
      </c>
    </row>
    <row r="8" spans="1:35" x14ac:dyDescent="0.35">
      <c r="B8" s="6"/>
      <c r="S8" s="9">
        <v>10</v>
      </c>
      <c r="T8" s="10">
        <f t="shared" ref="T8:T62" si="0">(40*LOG(S8/$B$3))-10*LOG(((((S8/$B$3)^2)-1)^2)+((S8/($B$3*$B$4))^2))</f>
        <v>-29.42614974448902</v>
      </c>
      <c r="U8" s="11">
        <f t="shared" ref="U8:U62" si="1">40*LOG(S8/$B$5)-10*LOG(((((S8/$B$5)^2)-1)^2)+((S8/($B$5*$B$6))^2))</f>
        <v>-17.206760131419873</v>
      </c>
      <c r="V8" s="11">
        <f t="shared" ref="V8:V62" si="2">U8-T8</f>
        <v>12.219389613069147</v>
      </c>
      <c r="W8">
        <f>2*PI()*S8/$B$10</f>
        <v>1.308996938995747E-3</v>
      </c>
      <c r="X8" s="18">
        <f>4*SIN(W8/2)^2</f>
        <v>1.7134727416344432E-6</v>
      </c>
      <c r="Y8" s="19">
        <f>10*LOG10(($B$19+$B$20+$B$21)^2 + ( $B$19*$B$21*X8 - ($B$20*($B$19+$B$21) + 4*$B$19*$B$21) )*X8 )  - 10*LOG10( (1+$Z$2+$Z$3)^2 + ( 1*$Z$3*X8 - ($Z$2*(1+$Z$3) + 4*1*$Z$3) )*X8)</f>
        <v>12.219395549088503</v>
      </c>
      <c r="Z8" s="30"/>
      <c r="AB8" s="27"/>
      <c r="AD8" s="22"/>
    </row>
    <row r="9" spans="1:35" x14ac:dyDescent="0.35">
      <c r="A9" t="s">
        <v>15</v>
      </c>
      <c r="B9" s="6">
        <v>1</v>
      </c>
      <c r="S9" s="12">
        <f>S8*2^(1/8)</f>
        <v>10.905077326652577</v>
      </c>
      <c r="T9" s="10">
        <f t="shared" si="0"/>
        <v>-27.885547910898772</v>
      </c>
      <c r="U9" s="11">
        <f t="shared" si="1"/>
        <v>-15.925383023111221</v>
      </c>
      <c r="V9" s="11">
        <f t="shared" si="2"/>
        <v>11.960164887787551</v>
      </c>
      <c r="W9">
        <f t="shared" ref="W9:W62" si="3">2*PI()*S9/$B$10</f>
        <v>1.427471284010015E-3</v>
      </c>
      <c r="X9" s="18">
        <f t="shared" ref="X9:X62" si="4">4*SIN(W9/2)^2</f>
        <v>2.0376739206635231E-6</v>
      </c>
      <c r="Y9" s="19">
        <f t="shared" ref="Y9:Y62" si="5">10*LOG10(($B$19+$B$20+$B$21)^2 + ( $B$19*$B$21*X9 - ($B$20*($B$19+$B$21) + 4*$B$19*$B$21) )*X9 )  - 10*LOG10( (1+$Z$2+$Z$3)^2 + ( 1*$Z$3*X9 - ($Z$2*(1+$Z$3) + 4*1*$Z$3) )*X9)</f>
        <v>11.960171702709658</v>
      </c>
      <c r="Z9" s="30"/>
      <c r="AD9" s="22">
        <f>IF(AD1&lt;0,AD7,AD2)</f>
        <v>0.99673281273639558</v>
      </c>
    </row>
    <row r="10" spans="1:35" x14ac:dyDescent="0.35">
      <c r="A10" t="s">
        <v>16</v>
      </c>
      <c r="B10" s="6">
        <v>48000</v>
      </c>
      <c r="C10" t="s">
        <v>4</v>
      </c>
      <c r="S10" s="12">
        <f t="shared" ref="S10:S73" si="6">S9*2^(1/8)</f>
        <v>11.892071150027212</v>
      </c>
      <c r="T10" s="10">
        <f t="shared" si="0"/>
        <v>-26.338328413572537</v>
      </c>
      <c r="U10" s="11">
        <f t="shared" si="1"/>
        <v>-14.679051999394023</v>
      </c>
      <c r="V10" s="11">
        <f t="shared" si="2"/>
        <v>11.659276414178514</v>
      </c>
      <c r="W10">
        <f t="shared" si="3"/>
        <v>1.5566684733705255E-3</v>
      </c>
      <c r="X10" s="18">
        <f t="shared" si="4"/>
        <v>2.4232162466541498E-6</v>
      </c>
      <c r="Y10" s="19">
        <f t="shared" si="5"/>
        <v>11.659284190706586</v>
      </c>
      <c r="Z10" s="30"/>
    </row>
    <row r="11" spans="1:35" x14ac:dyDescent="0.35">
      <c r="A11" t="s">
        <v>17</v>
      </c>
      <c r="B11" s="6">
        <f>AVERAGE(B3,B5)</f>
        <v>40</v>
      </c>
      <c r="C11" t="s">
        <v>4</v>
      </c>
      <c r="S11" s="12">
        <f t="shared" si="6"/>
        <v>12.968395546510099</v>
      </c>
      <c r="T11" s="10">
        <f t="shared" si="0"/>
        <v>-24.783285520698481</v>
      </c>
      <c r="U11" s="11">
        <f t="shared" si="1"/>
        <v>-13.471977313016668</v>
      </c>
      <c r="V11" s="11">
        <f t="shared" si="2"/>
        <v>11.311308207681813</v>
      </c>
      <c r="W11">
        <f t="shared" si="3"/>
        <v>1.6975590074067798E-3</v>
      </c>
      <c r="X11" s="18">
        <f t="shared" si="4"/>
        <v>2.8817058916085552E-6</v>
      </c>
      <c r="Y11" s="19">
        <f t="shared" si="5"/>
        <v>11.311317018938212</v>
      </c>
      <c r="Z11" s="30"/>
    </row>
    <row r="12" spans="1:35" x14ac:dyDescent="0.35">
      <c r="B12" s="6"/>
      <c r="S12" s="12">
        <f t="shared" si="6"/>
        <v>14.142135623730953</v>
      </c>
      <c r="T12" s="10">
        <f t="shared" si="0"/>
        <v>-23.219011164661108</v>
      </c>
      <c r="U12" s="11">
        <f t="shared" si="1"/>
        <v>-12.308479057718875</v>
      </c>
      <c r="V12" s="11">
        <f t="shared" si="2"/>
        <v>10.910532106942233</v>
      </c>
      <c r="W12">
        <f t="shared" si="3"/>
        <v>1.8512012242326529E-3</v>
      </c>
      <c r="X12" s="18">
        <f t="shared" si="4"/>
        <v>3.4269449939373591E-6</v>
      </c>
      <c r="Y12" s="19">
        <f t="shared" si="5"/>
        <v>10.910542008691721</v>
      </c>
      <c r="Z12" s="30"/>
    </row>
    <row r="13" spans="1:35" x14ac:dyDescent="0.35">
      <c r="S13" s="12">
        <f t="shared" si="6"/>
        <v>15.422108254079411</v>
      </c>
      <c r="T13" s="10">
        <f t="shared" si="0"/>
        <v>-21.643872250163241</v>
      </c>
      <c r="U13" s="11">
        <f t="shared" si="1"/>
        <v>-11.192869836285759</v>
      </c>
      <c r="V13" s="11">
        <f t="shared" si="2"/>
        <v>10.451002413877482</v>
      </c>
      <c r="W13">
        <f t="shared" si="3"/>
        <v>2.0187492497450994E-3</v>
      </c>
      <c r="X13" s="18">
        <f t="shared" si="4"/>
        <v>4.0753471493077851E-6</v>
      </c>
      <c r="Y13" s="19">
        <f t="shared" si="5"/>
        <v>10.451013434563862</v>
      </c>
      <c r="Z13" s="30"/>
    </row>
    <row r="14" spans="1:35" ht="28.4" customHeight="1" x14ac:dyDescent="0.35">
      <c r="A14" s="33" t="s">
        <v>18</v>
      </c>
      <c r="B14" s="33"/>
      <c r="C14" s="33"/>
      <c r="S14" s="12">
        <f t="shared" si="6"/>
        <v>16.817928305074293</v>
      </c>
      <c r="T14" s="10">
        <f t="shared" si="0"/>
        <v>-20.055993895422809</v>
      </c>
      <c r="U14" s="11">
        <f t="shared" si="1"/>
        <v>-10.129312364347602</v>
      </c>
      <c r="V14" s="11">
        <f t="shared" si="2"/>
        <v>9.9266815310752072</v>
      </c>
      <c r="W14">
        <f t="shared" si="3"/>
        <v>2.2014616671592185E-3</v>
      </c>
      <c r="X14" s="18">
        <f t="shared" si="4"/>
        <v>4.8464315146453117E-6</v>
      </c>
      <c r="Y14" s="19">
        <f t="shared" si="5"/>
        <v>9.9266936594110291</v>
      </c>
      <c r="Z14" s="30"/>
    </row>
    <row r="15" spans="1:35" x14ac:dyDescent="0.35">
      <c r="A15" t="s">
        <v>19</v>
      </c>
      <c r="B15" s="23">
        <v>1</v>
      </c>
      <c r="S15" s="12">
        <f t="shared" si="6"/>
        <v>18.340080864093427</v>
      </c>
      <c r="T15" s="10">
        <f t="shared" si="0"/>
        <v>-18.453256963808993</v>
      </c>
      <c r="U15" s="11">
        <f t="shared" si="1"/>
        <v>-9.1216581597609494</v>
      </c>
      <c r="V15" s="11">
        <f t="shared" si="2"/>
        <v>9.3315988040480438</v>
      </c>
      <c r="W15">
        <f t="shared" si="3"/>
        <v>2.4007109712032774E-3</v>
      </c>
      <c r="X15" s="18">
        <f t="shared" si="4"/>
        <v>5.7634103991787035E-6</v>
      </c>
      <c r="Y15" s="19">
        <f t="shared" si="5"/>
        <v>9.3316119739007632</v>
      </c>
      <c r="Z15" s="30"/>
    </row>
    <row r="16" spans="1:35" x14ac:dyDescent="0.35">
      <c r="A16" t="s">
        <v>20</v>
      </c>
      <c r="B16" s="20">
        <f>-(2*(B30-(B34^2)*B32)/B35)</f>
        <v>1.9934656921128127</v>
      </c>
      <c r="S16" s="12">
        <f t="shared" si="6"/>
        <v>20.000000000000004</v>
      </c>
      <c r="T16" s="10">
        <f t="shared" si="0"/>
        <v>-16.83332529100884</v>
      </c>
      <c r="U16" s="11">
        <f t="shared" si="1"/>
        <v>-8.1732774812762123</v>
      </c>
      <c r="V16" s="11">
        <f t="shared" si="2"/>
        <v>8.6600478097326281</v>
      </c>
      <c r="W16">
        <f t="shared" si="3"/>
        <v>2.6179938779914949E-3</v>
      </c>
      <c r="X16" s="18">
        <f t="shared" si="4"/>
        <v>6.8538880305489414E-6</v>
      </c>
      <c r="Y16" s="19">
        <f t="shared" si="5"/>
        <v>8.6600618820229727</v>
      </c>
      <c r="Z16" s="30"/>
    </row>
    <row r="17" spans="1:26" x14ac:dyDescent="0.35">
      <c r="A17" t="s">
        <v>21</v>
      </c>
      <c r="B17" s="20">
        <f>-((B30-B34*B31+(B34^2)*B32)/B35)</f>
        <v>-0.99347636640770398</v>
      </c>
      <c r="S17" s="12">
        <f t="shared" si="6"/>
        <v>21.810154653305158</v>
      </c>
      <c r="T17" s="10">
        <f t="shared" si="0"/>
        <v>-15.193730731993229</v>
      </c>
      <c r="U17" s="11">
        <f t="shared" si="1"/>
        <v>-7.2868941572282662</v>
      </c>
      <c r="V17" s="11">
        <f t="shared" si="2"/>
        <v>7.9068365747649629</v>
      </c>
      <c r="W17">
        <f t="shared" si="3"/>
        <v>2.8549425680200304E-3</v>
      </c>
      <c r="X17" s="18">
        <f t="shared" si="4"/>
        <v>8.1506915305390883E-6</v>
      </c>
      <c r="Y17" s="19">
        <f t="shared" si="5"/>
        <v>7.9068513160334106</v>
      </c>
      <c r="Z17" s="30"/>
    </row>
    <row r="18" spans="1:26" x14ac:dyDescent="0.35">
      <c r="B18" s="21"/>
      <c r="S18" s="12">
        <f t="shared" si="6"/>
        <v>23.784142300054427</v>
      </c>
      <c r="T18" s="10">
        <f t="shared" si="0"/>
        <v>-13.532067100206097</v>
      </c>
      <c r="U18" s="11">
        <f t="shared" si="1"/>
        <v>-6.4644409669580014</v>
      </c>
      <c r="V18" s="11">
        <f t="shared" si="2"/>
        <v>7.0676261332480959</v>
      </c>
      <c r="W18">
        <f t="shared" si="3"/>
        <v>3.1133369467410514E-3</v>
      </c>
      <c r="X18" s="18">
        <f t="shared" si="4"/>
        <v>9.6928591146396239E-6</v>
      </c>
      <c r="Y18" s="19">
        <f t="shared" si="5"/>
        <v>7.0676411905334362</v>
      </c>
      <c r="Z18" s="30"/>
    </row>
    <row r="19" spans="1:26" x14ac:dyDescent="0.35">
      <c r="A19" t="s">
        <v>22</v>
      </c>
      <c r="B19" s="20">
        <f>($B$26+$B$34*$B$27+($B$34^2)*$B$28)/$B$35</f>
        <v>0.99971371852344559</v>
      </c>
      <c r="S19" s="12">
        <f t="shared" si="6"/>
        <v>25.936791093020201</v>
      </c>
      <c r="T19" s="10">
        <f t="shared" si="0"/>
        <v>-11.846385217994968</v>
      </c>
      <c r="U19" s="11">
        <f t="shared" si="1"/>
        <v>-5.7069510013092781</v>
      </c>
      <c r="V19" s="11">
        <f t="shared" si="2"/>
        <v>6.1394342166856894</v>
      </c>
      <c r="W19">
        <f t="shared" si="3"/>
        <v>3.39511801481356E-3</v>
      </c>
      <c r="X19" s="18">
        <f t="shared" si="4"/>
        <v>1.1526815262205378E-5</v>
      </c>
      <c r="Y19" s="19">
        <f t="shared" si="5"/>
        <v>6.1394490886858364</v>
      </c>
      <c r="Z19" s="30"/>
    </row>
    <row r="20" spans="1:26" x14ac:dyDescent="0.35">
      <c r="A20" t="s">
        <v>23</v>
      </c>
      <c r="B20" s="20">
        <f>2*($B$26-($B$34^2)*$B$28)/$B$35</f>
        <v>-1.9934451974666221</v>
      </c>
      <c r="S20" s="12">
        <f t="shared" si="6"/>
        <v>28.284271247461909</v>
      </c>
      <c r="T20" s="10">
        <f t="shared" si="0"/>
        <v>-10.135953631959376</v>
      </c>
      <c r="U20" s="11">
        <f t="shared" si="1"/>
        <v>-5.0144975470517057</v>
      </c>
      <c r="V20" s="11">
        <f t="shared" si="2"/>
        <v>5.1214560849076705</v>
      </c>
      <c r="W20">
        <f t="shared" si="3"/>
        <v>3.7024024484653062E-3</v>
      </c>
      <c r="X20" s="18">
        <f t="shared" si="4"/>
        <v>1.3707768231797451E-5</v>
      </c>
      <c r="Y20" s="19">
        <f t="shared" si="5"/>
        <v>5.121470090863852</v>
      </c>
      <c r="Z20" s="30"/>
    </row>
    <row r="21" spans="1:26" x14ac:dyDescent="0.35">
      <c r="A21" t="s">
        <v>24</v>
      </c>
      <c r="B21" s="20">
        <f>($B$26-$B$34*$B$27+($B$34^2)*$B$28)/$B$35</f>
        <v>0.99378314253044941</v>
      </c>
      <c r="S21" s="12">
        <f t="shared" si="6"/>
        <v>30.844216508158826</v>
      </c>
      <c r="T21" s="10">
        <f t="shared" si="0"/>
        <v>-8.4026705893917377</v>
      </c>
      <c r="U21" s="11">
        <f t="shared" si="1"/>
        <v>-4.3861897682058331</v>
      </c>
      <c r="V21" s="11">
        <f t="shared" si="2"/>
        <v>4.0164808211859047</v>
      </c>
      <c r="W21">
        <f t="shared" si="3"/>
        <v>4.0374984994901997E-3</v>
      </c>
      <c r="X21" s="18">
        <f t="shared" si="4"/>
        <v>1.6301371988776759E-5</v>
      </c>
      <c r="Y21" s="19">
        <f t="shared" si="5"/>
        <v>4.0164930734973012</v>
      </c>
      <c r="Z21" s="30"/>
    </row>
    <row r="22" spans="1:26" x14ac:dyDescent="0.35">
      <c r="S22" s="12">
        <f>S21*2^(1/8)</f>
        <v>33.635856610148593</v>
      </c>
      <c r="T22" s="10">
        <f t="shared" si="0"/>
        <v>-6.6535921707543357</v>
      </c>
      <c r="U22" s="11">
        <f t="shared" si="1"/>
        <v>-3.8202247155605553</v>
      </c>
      <c r="V22" s="11">
        <f t="shared" si="2"/>
        <v>2.8333674551937804</v>
      </c>
      <c r="W22">
        <f t="shared" si="3"/>
        <v>4.4029233343184379E-3</v>
      </c>
      <c r="X22" s="18">
        <f t="shared" si="4"/>
        <v>1.9385702570682833E-5</v>
      </c>
      <c r="Y22" s="19">
        <f t="shared" si="5"/>
        <v>2.8333768536543289</v>
      </c>
      <c r="Z22" s="30"/>
    </row>
    <row r="23" spans="1:26" x14ac:dyDescent="0.35">
      <c r="A23" t="s">
        <v>34</v>
      </c>
      <c r="B23" s="24" t="str">
        <f>IF(ABS(AD9)&lt;1,"Stable","Not stable")</f>
        <v>Stable</v>
      </c>
      <c r="S23" s="12">
        <f t="shared" si="6"/>
        <v>36.68016172818686</v>
      </c>
      <c r="T23" s="10">
        <f t="shared" si="0"/>
        <v>-4.9052229949805284</v>
      </c>
      <c r="U23" s="11">
        <f t="shared" si="1"/>
        <v>-3.313989344382664</v>
      </c>
      <c r="V23" s="11">
        <f t="shared" si="2"/>
        <v>1.5912336505978644</v>
      </c>
      <c r="W23">
        <f t="shared" si="3"/>
        <v>4.8014219424065549E-3</v>
      </c>
      <c r="X23" s="18">
        <f t="shared" si="4"/>
        <v>2.3053608379815388E-5</v>
      </c>
      <c r="Y23" s="19">
        <f t="shared" si="5"/>
        <v>1.5912389427745381</v>
      </c>
      <c r="Z23" s="30"/>
    </row>
    <row r="24" spans="1:26" x14ac:dyDescent="0.35">
      <c r="S24" s="12">
        <f t="shared" si="6"/>
        <v>40.000000000000014</v>
      </c>
      <c r="T24" s="10">
        <f t="shared" si="0"/>
        <v>-3.1900923410698043</v>
      </c>
      <c r="U24" s="11">
        <f t="shared" si="1"/>
        <v>-2.8642006532205109</v>
      </c>
      <c r="V24" s="11">
        <f t="shared" si="2"/>
        <v>0.32589168784929345</v>
      </c>
      <c r="W24">
        <f t="shared" si="3"/>
        <v>5.2359877559829907E-3</v>
      </c>
      <c r="X24" s="18">
        <f t="shared" si="4"/>
        <v>2.7415505146414638E-5</v>
      </c>
      <c r="Y24" s="19">
        <f t="shared" si="5"/>
        <v>0.32589168769696641</v>
      </c>
      <c r="Z24" s="30"/>
    </row>
    <row r="25" spans="1:26" x14ac:dyDescent="0.35">
      <c r="A25" s="1" t="s">
        <v>25</v>
      </c>
      <c r="S25" s="12">
        <f t="shared" si="6"/>
        <v>43.620309306610324</v>
      </c>
      <c r="T25" s="10">
        <f t="shared" si="0"/>
        <v>-1.5647515254584281</v>
      </c>
      <c r="U25" s="11">
        <f t="shared" si="1"/>
        <v>-2.4670687809983853</v>
      </c>
      <c r="V25" s="11">
        <f t="shared" si="2"/>
        <v>-0.90231725553995723</v>
      </c>
      <c r="W25">
        <f t="shared" si="3"/>
        <v>5.7098851360400608E-3</v>
      </c>
      <c r="X25" s="18">
        <f t="shared" si="4"/>
        <v>3.2602699688383923E-5</v>
      </c>
      <c r="Y25" s="19">
        <f t="shared" si="5"/>
        <v>-0.90232315382262129</v>
      </c>
      <c r="Z25" s="30"/>
    </row>
    <row r="26" spans="1:26" x14ac:dyDescent="0.35">
      <c r="A26" t="s">
        <v>26</v>
      </c>
      <c r="B26">
        <f>(2*PI()*B3)^2</f>
        <v>119422.21325318124</v>
      </c>
      <c r="S26" s="12">
        <f t="shared" si="6"/>
        <v>47.568284600108861</v>
      </c>
      <c r="T26" s="10">
        <f t="shared" si="0"/>
        <v>-0.11395630860178541</v>
      </c>
      <c r="U26" s="11">
        <f t="shared" si="1"/>
        <v>-2.1184672750515841</v>
      </c>
      <c r="V26" s="11">
        <f t="shared" si="2"/>
        <v>-2.0045109664497986</v>
      </c>
      <c r="W26">
        <f t="shared" si="3"/>
        <v>6.2266738934821028E-3</v>
      </c>
      <c r="X26" s="18">
        <f t="shared" si="4"/>
        <v>3.8771342507040672E-5</v>
      </c>
      <c r="Y26" s="19">
        <f t="shared" si="5"/>
        <v>-2.0045219315006193</v>
      </c>
      <c r="Z26" s="30"/>
    </row>
    <row r="27" spans="1:26" x14ac:dyDescent="0.35">
      <c r="A27" t="s">
        <v>27</v>
      </c>
      <c r="B27">
        <f>(2*PI()*B3)/B4</f>
        <v>285.59933214452667</v>
      </c>
      <c r="S27" s="12">
        <f t="shared" si="6"/>
        <v>51.873582186040409</v>
      </c>
      <c r="T27" s="10">
        <f t="shared" si="0"/>
        <v>1.061031370527294</v>
      </c>
      <c r="U27" s="11">
        <f t="shared" si="1"/>
        <v>-1.8140964686455003</v>
      </c>
      <c r="V27" s="11">
        <f t="shared" si="2"/>
        <v>-2.8751278391727944</v>
      </c>
      <c r="W27">
        <f t="shared" si="3"/>
        <v>6.7902360296271218E-3</v>
      </c>
      <c r="X27" s="18">
        <f t="shared" si="4"/>
        <v>4.6107128181351442E-5</v>
      </c>
      <c r="Y27" s="19">
        <f t="shared" si="5"/>
        <v>-2.875140824721484</v>
      </c>
      <c r="Z27" s="30"/>
    </row>
    <row r="28" spans="1:26" x14ac:dyDescent="0.35">
      <c r="A28" t="s">
        <v>28</v>
      </c>
      <c r="B28">
        <f>B9</f>
        <v>1</v>
      </c>
      <c r="S28" s="12">
        <f t="shared" si="6"/>
        <v>56.568542494923825</v>
      </c>
      <c r="T28" s="10">
        <f t="shared" si="0"/>
        <v>1.8798831906398659</v>
      </c>
      <c r="U28" s="11">
        <f t="shared" si="1"/>
        <v>-1.5496292233946072</v>
      </c>
      <c r="V28" s="11">
        <f t="shared" si="2"/>
        <v>-3.4295124140344733</v>
      </c>
      <c r="W28">
        <f t="shared" si="3"/>
        <v>7.4048048969306141E-3</v>
      </c>
      <c r="X28" s="18">
        <f t="shared" si="4"/>
        <v>5.4830885024279924E-5</v>
      </c>
      <c r="Y28" s="19">
        <f t="shared" si="5"/>
        <v>-3.4295225185620097</v>
      </c>
      <c r="Z28" s="30"/>
    </row>
    <row r="29" spans="1:26" x14ac:dyDescent="0.35">
      <c r="S29" s="12">
        <f t="shared" si="6"/>
        <v>61.68843301631766</v>
      </c>
      <c r="T29" s="10">
        <f t="shared" si="0"/>
        <v>2.3284702581881942</v>
      </c>
      <c r="U29" s="11">
        <f t="shared" si="1"/>
        <v>-1.3208322804026089</v>
      </c>
      <c r="V29" s="11">
        <f t="shared" si="2"/>
        <v>-3.6493025385908031</v>
      </c>
      <c r="W29">
        <f t="shared" si="3"/>
        <v>8.0749969989804011E-3</v>
      </c>
      <c r="X29" s="18">
        <f t="shared" si="4"/>
        <v>6.5205222220378339E-5</v>
      </c>
      <c r="Y29" s="19">
        <f t="shared" si="5"/>
        <v>-3.6493049619247699</v>
      </c>
      <c r="Z29" s="30"/>
    </row>
    <row r="30" spans="1:26" x14ac:dyDescent="0.35">
      <c r="A30" t="s">
        <v>29</v>
      </c>
      <c r="B30">
        <f>(2*PI()*B5)^2</f>
        <v>24674.011002723397</v>
      </c>
      <c r="S30" s="12">
        <f t="shared" si="6"/>
        <v>67.271713220297201</v>
      </c>
      <c r="T30" s="10">
        <f t="shared" si="0"/>
        <v>2.468112130597083</v>
      </c>
      <c r="U30" s="11">
        <f t="shared" si="1"/>
        <v>-1.1236603118596875</v>
      </c>
      <c r="V30" s="11">
        <f t="shared" si="2"/>
        <v>-3.5917724424567705</v>
      </c>
      <c r="W30">
        <f t="shared" si="3"/>
        <v>8.8058466686368776E-3</v>
      </c>
      <c r="X30" s="18">
        <f t="shared" si="4"/>
        <v>7.7542434477267176E-5</v>
      </c>
      <c r="Y30" s="19">
        <f t="shared" si="5"/>
        <v>-3.5917644879030775</v>
      </c>
      <c r="Z30" s="30"/>
    </row>
    <row r="31" spans="1:26" x14ac:dyDescent="0.35">
      <c r="A31" t="s">
        <v>30</v>
      </c>
      <c r="B31">
        <f>(2*PI()*B5)/B6</f>
        <v>314.15926535897933</v>
      </c>
      <c r="S31" s="12">
        <f t="shared" si="6"/>
        <v>73.360323456373735</v>
      </c>
      <c r="T31" s="10">
        <f t="shared" si="0"/>
        <v>2.398181502234646</v>
      </c>
      <c r="U31" s="11">
        <f t="shared" si="1"/>
        <v>-0.95432292476281688</v>
      </c>
      <c r="V31" s="11">
        <f t="shared" si="2"/>
        <v>-3.3525044269974629</v>
      </c>
      <c r="W31">
        <f t="shared" si="3"/>
        <v>9.6028438848131132E-3</v>
      </c>
      <c r="X31" s="18">
        <f t="shared" si="4"/>
        <v>9.2213902050402276E-5</v>
      </c>
      <c r="Y31" s="19">
        <f t="shared" si="5"/>
        <v>-3.3524858362284391</v>
      </c>
      <c r="Z31" s="30"/>
    </row>
    <row r="32" spans="1:26" x14ac:dyDescent="0.35">
      <c r="A32" t="s">
        <v>31</v>
      </c>
      <c r="B32">
        <f>B9</f>
        <v>1</v>
      </c>
      <c r="S32" s="12">
        <f t="shared" si="6"/>
        <v>80.000000000000043</v>
      </c>
      <c r="T32" s="10">
        <f t="shared" si="0"/>
        <v>2.2118188936528904</v>
      </c>
      <c r="U32" s="11">
        <f t="shared" si="1"/>
        <v>-0.80932709186460272</v>
      </c>
      <c r="V32" s="11">
        <f t="shared" si="2"/>
        <v>-3.0211459855174931</v>
      </c>
      <c r="W32">
        <f t="shared" si="3"/>
        <v>1.0471975511965983E-2</v>
      </c>
      <c r="X32" s="18">
        <f t="shared" si="4"/>
        <v>1.0966126897573617E-4</v>
      </c>
      <c r="Y32" s="19">
        <f t="shared" si="5"/>
        <v>-3.0211179886879052</v>
      </c>
      <c r="Z32" s="30"/>
    </row>
    <row r="33" spans="1:26" x14ac:dyDescent="0.35">
      <c r="S33" s="12">
        <f t="shared" si="6"/>
        <v>87.240618613220661</v>
      </c>
      <c r="T33" s="10">
        <f t="shared" si="0"/>
        <v>1.9754947037931307</v>
      </c>
      <c r="U33" s="11">
        <f t="shared" si="1"/>
        <v>-0.68549876900640783</v>
      </c>
      <c r="V33" s="11">
        <f t="shared" si="2"/>
        <v>-2.6609934727995386</v>
      </c>
      <c r="W33">
        <f t="shared" si="3"/>
        <v>1.1419770272080123E-2</v>
      </c>
      <c r="X33" s="18">
        <f t="shared" si="4"/>
        <v>1.3040973581750876E-4</v>
      </c>
      <c r="Y33" s="19">
        <f t="shared" si="5"/>
        <v>-2.6609577782974867</v>
      </c>
      <c r="Z33" s="30"/>
    </row>
    <row r="34" spans="1:26" x14ac:dyDescent="0.35">
      <c r="A34" t="s">
        <v>32</v>
      </c>
      <c r="B34">
        <f>(2*PI()*B11)/(TAN(PI()*B11/B10))</f>
        <v>95999.780675357542</v>
      </c>
      <c r="E34" s="13"/>
      <c r="S34" s="12">
        <f t="shared" si="6"/>
        <v>95.136569200217735</v>
      </c>
      <c r="T34" s="10">
        <f t="shared" si="0"/>
        <v>1.7292761084667454</v>
      </c>
      <c r="U34" s="11">
        <f t="shared" si="1"/>
        <v>-0.57998795393594804</v>
      </c>
      <c r="V34" s="11">
        <f t="shared" si="2"/>
        <v>-2.3092640624026934</v>
      </c>
      <c r="W34">
        <f t="shared" si="3"/>
        <v>1.2453347786964209E-2</v>
      </c>
      <c r="X34" s="18">
        <f t="shared" si="4"/>
        <v>1.5508386681116297E-4</v>
      </c>
      <c r="Y34" s="19">
        <f t="shared" si="5"/>
        <v>-2.3092222960207494</v>
      </c>
      <c r="Z34" s="30"/>
    </row>
    <row r="35" spans="1:26" x14ac:dyDescent="0.35">
      <c r="A35" t="s">
        <v>33</v>
      </c>
      <c r="B35">
        <f>B30+B34*B31+(B34^2)*B32</f>
        <v>9246141784.2993469</v>
      </c>
      <c r="S35" s="12">
        <f t="shared" si="6"/>
        <v>103.74716437208083</v>
      </c>
      <c r="T35" s="10">
        <f t="shared" si="0"/>
        <v>1.4944243844948257</v>
      </c>
      <c r="U35" s="11">
        <f t="shared" si="1"/>
        <v>-0.49026136594218883</v>
      </c>
      <c r="V35" s="11">
        <f t="shared" si="2"/>
        <v>-1.9846857504370146</v>
      </c>
      <c r="W35">
        <f t="shared" si="3"/>
        <v>1.3580472059254244E-2</v>
      </c>
      <c r="X35" s="18">
        <f t="shared" si="4"/>
        <v>1.8442638685813666E-4</v>
      </c>
      <c r="Y35" s="19">
        <f t="shared" si="5"/>
        <v>-1.9846392606506242</v>
      </c>
      <c r="Z35" s="30"/>
    </row>
    <row r="36" spans="1:26" x14ac:dyDescent="0.35">
      <c r="S36" s="12">
        <f>S35*2^(1/8)</f>
        <v>113.13708498984766</v>
      </c>
      <c r="T36" s="10">
        <f t="shared" si="0"/>
        <v>1.2807112278291655</v>
      </c>
      <c r="U36" s="11">
        <f t="shared" si="1"/>
        <v>-0.41408649447449974</v>
      </c>
      <c r="V36" s="11">
        <f t="shared" si="2"/>
        <v>-1.6947977223036652</v>
      </c>
      <c r="W36">
        <f t="shared" si="3"/>
        <v>1.4809609793861228E-2</v>
      </c>
      <c r="X36" s="18">
        <f t="shared" si="4"/>
        <v>2.1932053367116719E-4</v>
      </c>
      <c r="Y36" s="19">
        <f t="shared" si="5"/>
        <v>-1.6947475641379413</v>
      </c>
      <c r="Z36" s="30"/>
    </row>
    <row r="37" spans="1:26" x14ac:dyDescent="0.35">
      <c r="S37" s="12">
        <f t="shared" si="6"/>
        <v>123.37686603263533</v>
      </c>
      <c r="T37" s="10">
        <f t="shared" si="0"/>
        <v>1.0914814210242358</v>
      </c>
      <c r="U37" s="11">
        <f t="shared" si="1"/>
        <v>-0.34951015802612062</v>
      </c>
      <c r="V37" s="11">
        <f t="shared" si="2"/>
        <v>-1.4409915790503565</v>
      </c>
      <c r="W37">
        <f t="shared" si="3"/>
        <v>1.6149993997960802E-2</v>
      </c>
      <c r="X37" s="18">
        <f t="shared" si="4"/>
        <v>2.6081663716050852E-4</v>
      </c>
      <c r="Y37" s="19">
        <f t="shared" si="5"/>
        <v>-1.4409385591605144</v>
      </c>
      <c r="Z37" s="30"/>
    </row>
    <row r="38" spans="1:26" x14ac:dyDescent="0.35">
      <c r="S38" s="12">
        <f t="shared" si="6"/>
        <v>134.5434264405944</v>
      </c>
      <c r="T38" s="10">
        <f t="shared" si="0"/>
        <v>0.92672013811833232</v>
      </c>
      <c r="U38" s="11">
        <f t="shared" si="1"/>
        <v>-0.29483406194521322</v>
      </c>
      <c r="V38" s="11">
        <f t="shared" si="2"/>
        <v>-1.2215542000635455</v>
      </c>
      <c r="W38">
        <f t="shared" si="3"/>
        <v>1.7611693337273755E-2</v>
      </c>
      <c r="X38" s="18">
        <f t="shared" si="4"/>
        <v>3.1016372507992407E-4</v>
      </c>
      <c r="Y38" s="19">
        <f t="shared" si="5"/>
        <v>-1.221498931756301</v>
      </c>
      <c r="Z38" s="30"/>
    </row>
    <row r="39" spans="1:26" x14ac:dyDescent="0.35">
      <c r="S39" s="12">
        <f t="shared" si="6"/>
        <v>146.72064691274747</v>
      </c>
      <c r="T39" s="10">
        <f t="shared" si="0"/>
        <v>0.78479304881176404</v>
      </c>
      <c r="U39" s="11">
        <f t="shared" si="1"/>
        <v>-0.24858922777532655</v>
      </c>
      <c r="V39" s="11">
        <f t="shared" si="2"/>
        <v>-1.0333822765870906</v>
      </c>
      <c r="W39">
        <f t="shared" si="3"/>
        <v>1.9205687769626226E-2</v>
      </c>
      <c r="X39" s="18">
        <f t="shared" si="4"/>
        <v>3.6884710479787779E-4</v>
      </c>
      <c r="Y39" s="19">
        <f t="shared" si="5"/>
        <v>-1.033325227611968</v>
      </c>
      <c r="Z39" s="30"/>
    </row>
    <row r="40" spans="1:26" x14ac:dyDescent="0.35">
      <c r="S40" s="12">
        <f t="shared" si="6"/>
        <v>160.00000000000009</v>
      </c>
      <c r="T40" s="10">
        <f t="shared" si="0"/>
        <v>0.66339502024422714</v>
      </c>
      <c r="U40" s="11">
        <f t="shared" si="1"/>
        <v>-0.20951063107492018</v>
      </c>
      <c r="V40" s="11">
        <f t="shared" si="2"/>
        <v>-0.87290565131914732</v>
      </c>
      <c r="W40">
        <f t="shared" si="3"/>
        <v>2.0943951023931966E-2</v>
      </c>
      <c r="X40" s="18">
        <f t="shared" si="4"/>
        <v>4.3863305030903126E-4</v>
      </c>
      <c r="Y40" s="19">
        <f t="shared" si="5"/>
        <v>-0.87284718101705039</v>
      </c>
      <c r="Z40" s="30"/>
    </row>
    <row r="41" spans="1:26" x14ac:dyDescent="0.35">
      <c r="S41" s="12">
        <f t="shared" si="6"/>
        <v>174.48123722644132</v>
      </c>
      <c r="T41" s="10">
        <f t="shared" si="0"/>
        <v>0.56004974658334206</v>
      </c>
      <c r="U41" s="11">
        <f t="shared" si="1"/>
        <v>-0.17651294601307654</v>
      </c>
      <c r="V41" s="11">
        <f t="shared" si="2"/>
        <v>-0.7365626925964186</v>
      </c>
      <c r="W41">
        <f t="shared" si="3"/>
        <v>2.2839540544160247E-2</v>
      </c>
      <c r="X41" s="18">
        <f t="shared" si="4"/>
        <v>5.21621936570839E-4</v>
      </c>
      <c r="Y41" s="19">
        <f t="shared" si="5"/>
        <v>-0.73650307952034666</v>
      </c>
      <c r="Z41" s="30"/>
    </row>
    <row r="42" spans="1:26" x14ac:dyDescent="0.35">
      <c r="S42" s="12">
        <f t="shared" si="6"/>
        <v>190.27313840043547</v>
      </c>
      <c r="T42" s="10">
        <f t="shared" si="0"/>
        <v>0.47236086793958521</v>
      </c>
      <c r="U42" s="11">
        <f t="shared" si="1"/>
        <v>-0.14866795279539247</v>
      </c>
      <c r="V42" s="11">
        <f t="shared" si="2"/>
        <v>-0.62102882073497767</v>
      </c>
      <c r="W42">
        <f t="shared" si="3"/>
        <v>2.4906695573928418E-2</v>
      </c>
      <c r="X42" s="18">
        <f t="shared" si="4"/>
        <v>6.2031141623890697E-4</v>
      </c>
      <c r="Y42" s="19">
        <f t="shared" si="5"/>
        <v>-0.6209682828519334</v>
      </c>
      <c r="Z42" s="30"/>
    </row>
    <row r="43" spans="1:26" x14ac:dyDescent="0.35">
      <c r="S43" s="12">
        <f t="shared" si="6"/>
        <v>207.49432874416166</v>
      </c>
      <c r="T43" s="10">
        <f t="shared" si="0"/>
        <v>0.39812779059356274</v>
      </c>
      <c r="U43" s="11">
        <f t="shared" si="1"/>
        <v>-0.12518390815966285</v>
      </c>
      <c r="V43" s="11">
        <f t="shared" si="2"/>
        <v>-0.52331169875322558</v>
      </c>
      <c r="W43">
        <f t="shared" si="3"/>
        <v>2.7160944118508487E-2</v>
      </c>
      <c r="X43" s="18">
        <f t="shared" si="4"/>
        <v>7.3767153434037692E-4</v>
      </c>
      <c r="Y43" s="19">
        <f t="shared" si="5"/>
        <v>-0.5232504081797984</v>
      </c>
      <c r="Z43" s="30"/>
    </row>
    <row r="44" spans="1:26" x14ac:dyDescent="0.35">
      <c r="S44" s="12">
        <f t="shared" si="6"/>
        <v>226.27416997969533</v>
      </c>
      <c r="T44" s="10">
        <f t="shared" si="0"/>
        <v>0.33538910067635896</v>
      </c>
      <c r="U44" s="11">
        <f t="shared" si="1"/>
        <v>-0.10538699580136068</v>
      </c>
      <c r="V44" s="11">
        <f t="shared" si="2"/>
        <v>-0.44077609647771965</v>
      </c>
      <c r="W44">
        <f t="shared" si="3"/>
        <v>2.9619219587722456E-2</v>
      </c>
      <c r="X44" s="18">
        <f t="shared" si="4"/>
        <v>8.7723403318817894E-4</v>
      </c>
      <c r="Y44" s="19">
        <f t="shared" si="5"/>
        <v>-0.44071419027596903</v>
      </c>
      <c r="Z44" s="30"/>
    </row>
    <row r="45" spans="1:26" x14ac:dyDescent="0.35">
      <c r="S45" s="12">
        <f t="shared" si="6"/>
        <v>246.75373206527067</v>
      </c>
      <c r="T45" s="10">
        <f t="shared" si="0"/>
        <v>0.28242826338194149</v>
      </c>
      <c r="U45" s="11">
        <f t="shared" si="1"/>
        <v>-8.8704847975854761E-2</v>
      </c>
      <c r="V45" s="11">
        <f t="shared" si="2"/>
        <v>-0.37113311135779625</v>
      </c>
      <c r="W45">
        <f t="shared" si="3"/>
        <v>3.2299987995921604E-2</v>
      </c>
      <c r="X45" s="18">
        <f t="shared" si="4"/>
        <v>1.0431985233238144E-3</v>
      </c>
      <c r="Y45" s="19">
        <f t="shared" si="5"/>
        <v>-0.37107069951004235</v>
      </c>
      <c r="Z45" s="30"/>
    </row>
    <row r="46" spans="1:26" x14ac:dyDescent="0.35">
      <c r="S46" s="12">
        <f t="shared" si="6"/>
        <v>269.0868528811888</v>
      </c>
      <c r="T46" s="10">
        <f t="shared" si="0"/>
        <v>0.23776065065633389</v>
      </c>
      <c r="U46" s="11">
        <f t="shared" si="1"/>
        <v>-7.465204816873694E-2</v>
      </c>
      <c r="V46" s="11">
        <f t="shared" si="2"/>
        <v>-0.31241269882507083</v>
      </c>
      <c r="W46">
        <f t="shared" si="3"/>
        <v>3.522338667454751E-2</v>
      </c>
      <c r="X46" s="18">
        <f t="shared" si="4"/>
        <v>1.2405586987833408E-3</v>
      </c>
      <c r="Y46" s="19">
        <f t="shared" si="5"/>
        <v>-0.31234987018461169</v>
      </c>
      <c r="Z46" s="30"/>
    </row>
    <row r="47" spans="1:26" x14ac:dyDescent="0.35">
      <c r="S47" s="12">
        <f t="shared" si="6"/>
        <v>293.44129382549494</v>
      </c>
      <c r="T47" s="10">
        <f t="shared" si="0"/>
        <v>0.2001122714388508</v>
      </c>
      <c r="U47" s="11">
        <f t="shared" si="1"/>
        <v>-6.2817476103013803E-2</v>
      </c>
      <c r="V47" s="11">
        <f t="shared" si="2"/>
        <v>-0.2629297475418646</v>
      </c>
      <c r="W47">
        <f t="shared" si="3"/>
        <v>3.8411375539252453E-2</v>
      </c>
      <c r="X47" s="18">
        <f t="shared" si="4"/>
        <v>1.4752523710047933E-3</v>
      </c>
      <c r="Y47" s="19">
        <f t="shared" si="5"/>
        <v>-0.26286657432191873</v>
      </c>
      <c r="Z47" s="30"/>
    </row>
    <row r="48" spans="1:26" x14ac:dyDescent="0.35">
      <c r="S48" s="12">
        <f t="shared" si="6"/>
        <v>320.00000000000017</v>
      </c>
      <c r="T48" s="10">
        <f t="shared" si="0"/>
        <v>0.16839577065422162</v>
      </c>
      <c r="U48" s="11">
        <f t="shared" si="1"/>
        <v>-5.2853331136276438E-2</v>
      </c>
      <c r="V48" s="11">
        <f t="shared" si="2"/>
        <v>-0.22124910179049806</v>
      </c>
      <c r="W48">
        <f t="shared" si="3"/>
        <v>4.1887902047863933E-2</v>
      </c>
      <c r="X48" s="18">
        <f t="shared" si="4"/>
        <v>1.7543398022833016E-3</v>
      </c>
      <c r="Y48" s="19">
        <f t="shared" si="5"/>
        <v>-0.22118564298808963</v>
      </c>
      <c r="Z48" s="30"/>
    </row>
    <row r="49" spans="1:26" x14ac:dyDescent="0.35">
      <c r="S49" s="12">
        <f t="shared" si="6"/>
        <v>348.96247445288265</v>
      </c>
      <c r="T49" s="10">
        <f t="shared" si="0"/>
        <v>0.14168659417096308</v>
      </c>
      <c r="U49" s="11">
        <f t="shared" si="1"/>
        <v>-4.4465661033704862E-2</v>
      </c>
      <c r="V49" s="11">
        <f t="shared" si="2"/>
        <v>-0.18615225520466794</v>
      </c>
      <c r="W49">
        <f t="shared" si="3"/>
        <v>4.5679081088320493E-2</v>
      </c>
      <c r="X49" s="18">
        <f t="shared" si="4"/>
        <v>2.086215656838644E-3</v>
      </c>
      <c r="Y49" s="19">
        <f t="shared" si="5"/>
        <v>-0.18608855924029655</v>
      </c>
      <c r="Z49" s="30"/>
    </row>
    <row r="50" spans="1:26" x14ac:dyDescent="0.35">
      <c r="S50" s="12">
        <f t="shared" si="6"/>
        <v>380.54627680087094</v>
      </c>
      <c r="T50" s="10">
        <f t="shared" si="0"/>
        <v>0.11920073822598454</v>
      </c>
      <c r="U50" s="11">
        <f t="shared" si="1"/>
        <v>-3.740622472263766E-2</v>
      </c>
      <c r="V50" s="11">
        <f t="shared" si="2"/>
        <v>-0.1566069629486222</v>
      </c>
      <c r="W50">
        <f t="shared" si="3"/>
        <v>4.9813391147856836E-2</v>
      </c>
      <c r="X50" s="18">
        <f t="shared" si="4"/>
        <v>2.480860878702511E-3</v>
      </c>
      <c r="Y50" s="19">
        <f t="shared" si="5"/>
        <v>-0.15654306972235332</v>
      </c>
      <c r="Z50" s="30"/>
    </row>
    <row r="51" spans="1:26" x14ac:dyDescent="0.35">
      <c r="S51" s="12">
        <f t="shared" si="6"/>
        <v>414.98865748832333</v>
      </c>
      <c r="T51" s="10">
        <f t="shared" si="0"/>
        <v>0.10027468887792423</v>
      </c>
      <c r="U51" s="11">
        <f t="shared" si="1"/>
        <v>-3.146552594066776E-2</v>
      </c>
      <c r="V51" s="11">
        <f t="shared" si="2"/>
        <v>-0.13174021481859199</v>
      </c>
      <c r="W51">
        <f t="shared" si="3"/>
        <v>5.4321888237016974E-2</v>
      </c>
      <c r="X51" s="18">
        <f t="shared" si="4"/>
        <v>2.9501419780689321E-3</v>
      </c>
      <c r="Y51" s="19">
        <f t="shared" si="5"/>
        <v>-0.13167615732680815</v>
      </c>
      <c r="Z51" s="30"/>
    </row>
    <row r="52" spans="1:26" x14ac:dyDescent="0.35">
      <c r="A52" s="1"/>
      <c r="S52" s="12">
        <f t="shared" si="6"/>
        <v>452.54833995939066</v>
      </c>
      <c r="T52" s="10">
        <f t="shared" si="0"/>
        <v>8.4347718028922714E-2</v>
      </c>
      <c r="U52" s="11">
        <f t="shared" si="1"/>
        <v>-2.646686683736732E-2</v>
      </c>
      <c r="V52" s="11">
        <f t="shared" si="2"/>
        <v>-0.11081458486629003</v>
      </c>
      <c r="W52">
        <f t="shared" si="3"/>
        <v>5.9238439175444912E-2</v>
      </c>
      <c r="X52" s="18">
        <f t="shared" si="4"/>
        <v>3.5081665932037319E-3</v>
      </c>
      <c r="Y52" s="19">
        <f t="shared" si="5"/>
        <v>-0.1107503904844549</v>
      </c>
      <c r="Z52" s="30"/>
    </row>
    <row r="53" spans="1:26" x14ac:dyDescent="0.35">
      <c r="A53" s="15"/>
      <c r="S53" s="12">
        <f t="shared" si="6"/>
        <v>493.50746413054134</v>
      </c>
      <c r="T53" s="10">
        <f t="shared" si="0"/>
        <v>7.0946473832471213E-2</v>
      </c>
      <c r="U53" s="11">
        <f t="shared" si="1"/>
        <v>-2.226128460927157E-2</v>
      </c>
      <c r="V53" s="11">
        <f t="shared" si="2"/>
        <v>-9.3207758441742783E-2</v>
      </c>
      <c r="W53">
        <f t="shared" si="3"/>
        <v>6.4599975991843209E-2</v>
      </c>
      <c r="X53" s="18">
        <f t="shared" si="4"/>
        <v>4.1717058301361928E-3</v>
      </c>
      <c r="Y53" s="19">
        <f t="shared" si="5"/>
        <v>-9.3143449950552792E-2</v>
      </c>
      <c r="Z53" s="30"/>
    </row>
    <row r="54" spans="1:26" x14ac:dyDescent="0.35">
      <c r="A54" s="15"/>
      <c r="S54" s="12">
        <f t="shared" si="6"/>
        <v>538.17370576237761</v>
      </c>
      <c r="T54" s="10">
        <f t="shared" si="0"/>
        <v>5.9671692518939778E-2</v>
      </c>
      <c r="U54" s="11">
        <f t="shared" si="1"/>
        <v>-1.872324882150167E-2</v>
      </c>
      <c r="V54" s="11">
        <f t="shared" si="2"/>
        <v>-7.8394941340441449E-2</v>
      </c>
      <c r="W54">
        <f t="shared" si="3"/>
        <v>7.0446773349095021E-2</v>
      </c>
      <c r="X54" s="18">
        <f t="shared" si="4"/>
        <v>4.9606958092482363E-3</v>
      </c>
      <c r="Y54" s="19">
        <f t="shared" si="5"/>
        <v>-7.8330537752741236E-2</v>
      </c>
      <c r="Z54" s="30"/>
    </row>
    <row r="55" spans="1:26" x14ac:dyDescent="0.35">
      <c r="S55" s="12">
        <f t="shared" si="6"/>
        <v>586.88258765098988</v>
      </c>
      <c r="T55" s="10">
        <f t="shared" si="0"/>
        <v>5.0186813375574957E-2</v>
      </c>
      <c r="U55" s="11">
        <f t="shared" si="1"/>
        <v>-1.5747011349347417E-2</v>
      </c>
      <c r="V55" s="11">
        <f t="shared" si="2"/>
        <v>-6.5933824724922374E-2</v>
      </c>
      <c r="W55">
        <f t="shared" si="3"/>
        <v>7.6822751078504906E-2</v>
      </c>
      <c r="X55" s="18">
        <f t="shared" si="4"/>
        <v>5.8988331144610179E-3</v>
      </c>
      <c r="Y55" s="19">
        <f t="shared" si="5"/>
        <v>-6.5869341956997118E-2</v>
      </c>
      <c r="Z55" s="30"/>
    </row>
    <row r="56" spans="1:26" x14ac:dyDescent="0.35">
      <c r="S56" s="12">
        <f t="shared" si="6"/>
        <v>640.00000000000034</v>
      </c>
      <c r="T56" s="10">
        <f t="shared" si="0"/>
        <v>4.2208268930039594E-2</v>
      </c>
      <c r="U56" s="11">
        <f t="shared" si="1"/>
        <v>-1.3243514348758367E-2</v>
      </c>
      <c r="V56" s="11">
        <f t="shared" si="2"/>
        <v>-5.5451783278797961E-2</v>
      </c>
      <c r="W56">
        <f t="shared" si="3"/>
        <v>8.3775804095727865E-2</v>
      </c>
      <c r="X56" s="18">
        <f t="shared" si="4"/>
        <v>7.0142815009913307E-3</v>
      </c>
      <c r="Y56" s="19">
        <f t="shared" si="5"/>
        <v>-5.5387234698855536E-2</v>
      </c>
      <c r="Z56" s="30"/>
    </row>
    <row r="57" spans="1:26" x14ac:dyDescent="0.35">
      <c r="S57" s="12">
        <f t="shared" si="6"/>
        <v>697.92494890576529</v>
      </c>
      <c r="T57" s="10">
        <f t="shared" si="0"/>
        <v>3.5497231271811813E-2</v>
      </c>
      <c r="U57" s="11">
        <f t="shared" si="1"/>
        <v>-1.1137774053331384E-2</v>
      </c>
      <c r="V57" s="11">
        <f t="shared" si="2"/>
        <v>-4.6635005325143197E-2</v>
      </c>
      <c r="W57">
        <f t="shared" si="3"/>
        <v>9.1358162176640986E-2</v>
      </c>
      <c r="X57" s="18">
        <f t="shared" si="4"/>
        <v>8.3405103315877388E-3</v>
      </c>
      <c r="Y57" s="19">
        <f t="shared" si="5"/>
        <v>-4.6570402204487493E-2</v>
      </c>
      <c r="Z57" s="30"/>
    </row>
    <row r="58" spans="1:26" x14ac:dyDescent="0.35">
      <c r="S58" s="12">
        <f t="shared" si="6"/>
        <v>761.09255360174188</v>
      </c>
      <c r="T58" s="10">
        <f t="shared" si="0"/>
        <v>2.9852613239846448E-2</v>
      </c>
      <c r="U58" s="11">
        <f t="shared" si="1"/>
        <v>-9.3666693743799101E-3</v>
      </c>
      <c r="V58" s="11">
        <f t="shared" si="2"/>
        <v>-3.9219282614226358E-2</v>
      </c>
      <c r="W58">
        <f t="shared" si="3"/>
        <v>9.9626782295713673E-2</v>
      </c>
      <c r="X58" s="18">
        <f t="shared" si="4"/>
        <v>9.9172888441105677E-3</v>
      </c>
      <c r="Y58" s="19">
        <f t="shared" si="5"/>
        <v>-3.9154634500768282E-2</v>
      </c>
      <c r="Z58" s="30"/>
    </row>
    <row r="59" spans="1:26" x14ac:dyDescent="0.35">
      <c r="S59" s="12">
        <f t="shared" si="6"/>
        <v>829.97731497664665</v>
      </c>
      <c r="T59" s="10">
        <f t="shared" si="0"/>
        <v>2.5105144488222209E-2</v>
      </c>
      <c r="U59" s="11">
        <f t="shared" si="1"/>
        <v>-7.8770742258313931E-3</v>
      </c>
      <c r="V59" s="11">
        <f t="shared" si="2"/>
        <v>-3.2982218714053602E-2</v>
      </c>
      <c r="W59">
        <f t="shared" si="3"/>
        <v>0.10864377647403395</v>
      </c>
      <c r="X59" s="18">
        <f t="shared" si="4"/>
        <v>1.1791864574584964E-2</v>
      </c>
      <c r="Y59" s="19">
        <f t="shared" si="5"/>
        <v>-3.2917533743955119E-2</v>
      </c>
      <c r="Z59" s="30"/>
    </row>
    <row r="60" spans="1:26" x14ac:dyDescent="0.35">
      <c r="S60" s="12">
        <f t="shared" si="6"/>
        <v>905.09667991878132</v>
      </c>
      <c r="T60" s="10">
        <f t="shared" si="0"/>
        <v>2.1112364250200244E-2</v>
      </c>
      <c r="U60" s="11">
        <f t="shared" si="1"/>
        <v>-6.6242812488113145E-3</v>
      </c>
      <c r="V60" s="11">
        <f t="shared" si="2"/>
        <v>-2.7736645499011559E-2</v>
      </c>
      <c r="W60">
        <f t="shared" si="3"/>
        <v>0.11847687835088982</v>
      </c>
      <c r="X60" s="18">
        <f t="shared" si="4"/>
        <v>1.4020359139969256E-2</v>
      </c>
      <c r="Y60" s="19">
        <f t="shared" si="5"/>
        <v>-2.7671930658591748E-2</v>
      </c>
      <c r="Z60" s="30"/>
    </row>
    <row r="61" spans="1:26" x14ac:dyDescent="0.35">
      <c r="S61" s="12">
        <f t="shared" si="6"/>
        <v>987.01492826108267</v>
      </c>
      <c r="T61" s="10">
        <f t="shared" si="0"/>
        <v>1.7754393402974245E-2</v>
      </c>
      <c r="U61" s="11">
        <f t="shared" si="1"/>
        <v>-5.5706722496964289E-3</v>
      </c>
      <c r="V61" s="11">
        <f t="shared" si="2"/>
        <v>-2.3325065652670673E-2</v>
      </c>
      <c r="W61">
        <f t="shared" si="3"/>
        <v>0.12919995198368642</v>
      </c>
      <c r="X61" s="18">
        <f t="shared" si="4"/>
        <v>1.6669420191011579E-2</v>
      </c>
      <c r="Y61" s="19">
        <f t="shared" si="5"/>
        <v>-2.3260327000734549E-2</v>
      </c>
      <c r="Z61" s="30"/>
    </row>
    <row r="62" spans="1:26" x14ac:dyDescent="0.35">
      <c r="S62" s="12">
        <f t="shared" si="6"/>
        <v>1076.3474115247552</v>
      </c>
      <c r="T62" s="10">
        <f t="shared" si="0"/>
        <v>1.4930367454432769E-2</v>
      </c>
      <c r="U62" s="11">
        <f t="shared" si="1"/>
        <v>-4.6845972880049658E-3</v>
      </c>
      <c r="V62" s="11">
        <f t="shared" si="2"/>
        <v>-1.9614964742437735E-2</v>
      </c>
      <c r="W62">
        <f t="shared" si="3"/>
        <v>0.14089354669819004</v>
      </c>
      <c r="X62" s="18">
        <f t="shared" si="4"/>
        <v>1.9818174734081057E-2</v>
      </c>
      <c r="Y62" s="19">
        <f t="shared" si="5"/>
        <v>-1.955020760125592E-2</v>
      </c>
      <c r="Z62" s="30"/>
    </row>
    <row r="63" spans="1:26" x14ac:dyDescent="0.35">
      <c r="S63" s="12">
        <f t="shared" si="6"/>
        <v>1173.7651753019798</v>
      </c>
      <c r="T63" s="10">
        <f t="shared" ref="T63:T89" si="7">(40*LOG(S63/$B$3))-10*LOG(((((S63/$B$3)^2)-1)^2)+((S63/($B$3*$B$4))^2))</f>
        <v>1.2555429049427858E-2</v>
      </c>
      <c r="U63" s="11">
        <f t="shared" ref="U63:U89" si="8">40*LOG(S63/$B$5)-10*LOG(((((S63/$B$5)^2)-1)^2)+((S63/($B$5*$B$6))^2))</f>
        <v>-3.9394300596740095E-3</v>
      </c>
      <c r="V63" s="11">
        <f t="shared" ref="V63:V89" si="9">U63-T63</f>
        <v>-1.6494859109101867E-2</v>
      </c>
      <c r="W63">
        <f t="shared" ref="W63:W89" si="10">2*PI()*S63/$B$10</f>
        <v>0.15364550215700981</v>
      </c>
      <c r="X63" s="18">
        <f t="shared" ref="X63:X89" si="11">4*SIN(W63/2)^2</f>
        <v>2.3560536225731808E-2</v>
      </c>
      <c r="Y63" s="19">
        <f t="shared" ref="Y63:Y89" si="12">10*LOG10(($B$19+$B$20+$B$21)^2 + ( $B$19*$B$21*X63 - ($B$20*($B$19+$B$21) + 4*$B$19*$B$21) )*X63 )  - 10*LOG10( (1+$Z$2+$Z$3)^2 + ( 1*$Z$3*X63 - ($Z$2*(1+$Z$3) + 4*1*$Z$3) )*X63)</f>
        <v>-1.6430088230819706E-2</v>
      </c>
      <c r="Z63" s="30"/>
    </row>
    <row r="64" spans="1:26" x14ac:dyDescent="0.35">
      <c r="S64" s="12">
        <f t="shared" si="6"/>
        <v>1280.0000000000007</v>
      </c>
      <c r="T64" s="10">
        <f t="shared" si="7"/>
        <v>1.0558193500962432E-2</v>
      </c>
      <c r="U64" s="11">
        <f t="shared" si="8"/>
        <v>-3.3127721242180996E-3</v>
      </c>
      <c r="V64" s="11">
        <f t="shared" si="9"/>
        <v>-1.3870965625180531E-2</v>
      </c>
      <c r="W64">
        <f t="shared" si="10"/>
        <v>0.16755160819145573</v>
      </c>
      <c r="X64" s="18">
        <f t="shared" si="11"/>
        <v>2.8007925858990177E-2</v>
      </c>
      <c r="Y64" s="19">
        <f t="shared" si="12"/>
        <v>-1.3806185339227284E-2</v>
      </c>
      <c r="Z64" s="30"/>
    </row>
    <row r="65" spans="19:26" x14ac:dyDescent="0.35">
      <c r="S65" s="12">
        <f t="shared" si="6"/>
        <v>1395.8498978115306</v>
      </c>
      <c r="T65" s="10">
        <f t="shared" si="7"/>
        <v>8.8786137982665991E-3</v>
      </c>
      <c r="U65" s="11">
        <f t="shared" si="8"/>
        <v>-2.7857827168276117E-3</v>
      </c>
      <c r="V65" s="11">
        <f t="shared" si="9"/>
        <v>-1.1664396515094211E-2</v>
      </c>
      <c r="W65">
        <f t="shared" si="10"/>
        <v>0.18271632435328197</v>
      </c>
      <c r="X65" s="18">
        <f t="shared" si="11"/>
        <v>3.3292477213759629E-2</v>
      </c>
      <c r="Y65" s="19">
        <f t="shared" si="12"/>
        <v>-1.1599610862006671E-2</v>
      </c>
      <c r="Z65" s="30"/>
    </row>
    <row r="66" spans="19:26" x14ac:dyDescent="0.35">
      <c r="S66" s="12">
        <f t="shared" si="6"/>
        <v>1522.1851072034838</v>
      </c>
      <c r="T66" s="10">
        <f t="shared" si="7"/>
        <v>7.466182700710533E-3</v>
      </c>
      <c r="U66" s="11">
        <f t="shared" si="8"/>
        <v>-2.3426144644389524E-3</v>
      </c>
      <c r="V66" s="11">
        <f t="shared" si="9"/>
        <v>-9.8087971651494854E-3</v>
      </c>
      <c r="W66">
        <f t="shared" si="10"/>
        <v>0.19925356459142735</v>
      </c>
      <c r="X66" s="18">
        <f t="shared" si="11"/>
        <v>3.9570802758424749E-2</v>
      </c>
      <c r="Y66" s="19">
        <f t="shared" si="12"/>
        <v>-9.7440100207712987E-3</v>
      </c>
      <c r="Z66" s="30"/>
    </row>
    <row r="67" spans="19:26" x14ac:dyDescent="0.35">
      <c r="S67" s="12">
        <f t="shared" si="6"/>
        <v>1659.9546299532933</v>
      </c>
      <c r="T67" s="10">
        <f t="shared" si="7"/>
        <v>6.2784190847224863E-3</v>
      </c>
      <c r="U67" s="11">
        <f t="shared" si="8"/>
        <v>-1.9699383677789228E-3</v>
      </c>
      <c r="V67" s="11">
        <f t="shared" si="9"/>
        <v>-8.2483574525014092E-3</v>
      </c>
      <c r="W67">
        <f t="shared" si="10"/>
        <v>0.2172875529480679</v>
      </c>
      <c r="X67" s="18">
        <f t="shared" si="11"/>
        <v>4.7028410228194505E-2</v>
      </c>
      <c r="Y67" s="19">
        <f t="shared" si="12"/>
        <v>-8.1835726469350334E-3</v>
      </c>
      <c r="Z67" s="30"/>
    </row>
    <row r="68" spans="19:26" x14ac:dyDescent="0.35">
      <c r="S68" s="12">
        <f t="shared" si="6"/>
        <v>1810.1933598375626</v>
      </c>
      <c r="T68" s="10">
        <f t="shared" si="7"/>
        <v>5.2795938677547838E-3</v>
      </c>
      <c r="U68" s="11">
        <f t="shared" si="8"/>
        <v>-1.6565439972708873E-3</v>
      </c>
      <c r="V68" s="11">
        <f t="shared" si="9"/>
        <v>-6.9361378650256711E-3</v>
      </c>
      <c r="W68">
        <f t="shared" si="10"/>
        <v>0.23695375670177965</v>
      </c>
      <c r="X68" s="18">
        <f t="shared" si="11"/>
        <v>5.588486608946331E-2</v>
      </c>
      <c r="Y68" s="19">
        <f t="shared" si="12"/>
        <v>-6.8713593001596962E-3</v>
      </c>
      <c r="Z68" s="30"/>
    </row>
    <row r="69" spans="19:26" x14ac:dyDescent="0.35">
      <c r="S69" s="12">
        <f t="shared" si="6"/>
        <v>1974.0298565221653</v>
      </c>
      <c r="T69" s="10">
        <f t="shared" si="7"/>
        <v>4.4396577712433327E-3</v>
      </c>
      <c r="U69" s="11">
        <f t="shared" si="8"/>
        <v>-1.3930030422244499E-3</v>
      </c>
      <c r="V69" s="11">
        <f t="shared" si="9"/>
        <v>-5.8326608134677826E-3</v>
      </c>
      <c r="W69">
        <f t="shared" si="10"/>
        <v>0.25839990396737283</v>
      </c>
      <c r="X69" s="18">
        <f t="shared" si="11"/>
        <v>6.6399811194541802E-2</v>
      </c>
      <c r="Y69" s="19">
        <f t="shared" si="12"/>
        <v>-5.7678925827389094E-3</v>
      </c>
      <c r="Z69" s="30"/>
    </row>
    <row r="70" spans="19:26" x14ac:dyDescent="0.35">
      <c r="S70" s="12">
        <f t="shared" si="6"/>
        <v>2152.6948230495104</v>
      </c>
      <c r="T70" s="10">
        <f t="shared" si="7"/>
        <v>3.7333390723546245E-3</v>
      </c>
      <c r="U70" s="11">
        <f t="shared" si="8"/>
        <v>-1.1713862086253357E-3</v>
      </c>
      <c r="V70" s="11">
        <f t="shared" si="9"/>
        <v>-4.9047252809799602E-3</v>
      </c>
      <c r="W70">
        <f t="shared" si="10"/>
        <v>0.28178709339638008</v>
      </c>
      <c r="X70" s="18">
        <f t="shared" si="11"/>
        <v>7.8879938886533649E-2</v>
      </c>
      <c r="Y70" s="19">
        <f t="shared" si="12"/>
        <v>-4.8399717954197286E-3</v>
      </c>
      <c r="Z70" s="30"/>
    </row>
    <row r="71" spans="19:26" x14ac:dyDescent="0.35">
      <c r="S71" s="12">
        <f t="shared" si="6"/>
        <v>2347.5303506039595</v>
      </c>
      <c r="T71" s="10">
        <f t="shared" si="7"/>
        <v>3.1393844812157568E-3</v>
      </c>
      <c r="U71" s="11">
        <f t="shared" si="8"/>
        <v>-9.8502503102793071E-4</v>
      </c>
      <c r="V71" s="11">
        <f t="shared" si="9"/>
        <v>-4.1244095122436875E-3</v>
      </c>
      <c r="W71">
        <f t="shared" si="10"/>
        <v>0.30729100431401962</v>
      </c>
      <c r="X71" s="18">
        <f t="shared" si="11"/>
        <v>9.3687046035683216E-2</v>
      </c>
      <c r="Y71" s="19">
        <f t="shared" si="12"/>
        <v>-4.0596756368032061E-3</v>
      </c>
      <c r="Z71" s="30"/>
    </row>
    <row r="72" spans="19:26" x14ac:dyDescent="0.35">
      <c r="S72" s="12">
        <f t="shared" si="6"/>
        <v>2560.0000000000014</v>
      </c>
      <c r="T72" s="10">
        <f t="shared" si="7"/>
        <v>2.6399204993623471E-3</v>
      </c>
      <c r="U72" s="11">
        <f t="shared" si="8"/>
        <v>-8.2831148995410331E-4</v>
      </c>
      <c r="V72" s="11">
        <f t="shared" si="9"/>
        <v>-3.4682319893164504E-3</v>
      </c>
      <c r="W72">
        <f t="shared" si="10"/>
        <v>0.33510321638291146</v>
      </c>
      <c r="X72" s="18">
        <f t="shared" si="11"/>
        <v>0.11124725952503801</v>
      </c>
      <c r="Y72" s="19">
        <f t="shared" si="12"/>
        <v>-3.4035231942155519E-3</v>
      </c>
      <c r="Z72" s="30"/>
    </row>
    <row r="73" spans="19:26" x14ac:dyDescent="0.35">
      <c r="S73" s="12">
        <f t="shared" si="6"/>
        <v>2791.6997956230612</v>
      </c>
      <c r="T73" s="10">
        <f t="shared" si="7"/>
        <v>2.2199161793992062E-3</v>
      </c>
      <c r="U73" s="11">
        <f t="shared" si="8"/>
        <v>-6.9652944654308158E-4</v>
      </c>
      <c r="V73" s="11">
        <f t="shared" si="9"/>
        <v>-2.9164456259422877E-3</v>
      </c>
      <c r="W73">
        <f t="shared" si="10"/>
        <v>0.36543264870656395</v>
      </c>
      <c r="X73" s="18">
        <f t="shared" si="11"/>
        <v>0.1320615198160098</v>
      </c>
      <c r="Y73" s="19">
        <f t="shared" si="12"/>
        <v>-2.8517681579707244E-3</v>
      </c>
      <c r="Z73" s="30"/>
    </row>
    <row r="74" spans="19:26" x14ac:dyDescent="0.35">
      <c r="S74" s="12">
        <f t="shared" ref="S74:S96" si="13">S73*2^(1/8)</f>
        <v>3044.3702144069675</v>
      </c>
      <c r="T74" s="10">
        <f t="shared" si="7"/>
        <v>1.8667312145055348E-3</v>
      </c>
      <c r="U74" s="11">
        <f t="shared" si="8"/>
        <v>-5.8571285107689164E-4</v>
      </c>
      <c r="V74" s="11">
        <f t="shared" si="9"/>
        <v>-2.4524440655824264E-3</v>
      </c>
      <c r="W74">
        <f t="shared" si="10"/>
        <v>0.39850712918285469</v>
      </c>
      <c r="X74" s="18">
        <f t="shared" si="11"/>
        <v>0.15671736260275285</v>
      </c>
      <c r="Y74" s="19">
        <f t="shared" si="12"/>
        <v>-2.3878051455277216E-3</v>
      </c>
      <c r="Z74" s="30"/>
    </row>
    <row r="75" spans="19:26" x14ac:dyDescent="0.35">
      <c r="S75" s="12">
        <f t="shared" si="13"/>
        <v>3319.9092599065866</v>
      </c>
      <c r="T75" s="10">
        <f t="shared" si="7"/>
        <v>1.5697358254271876E-3</v>
      </c>
      <c r="U75" s="11">
        <f t="shared" si="8"/>
        <v>-4.9252647887954026E-4</v>
      </c>
      <c r="V75" s="11">
        <f t="shared" si="9"/>
        <v>-2.0622623043067279E-3</v>
      </c>
      <c r="W75">
        <f t="shared" si="10"/>
        <v>0.43457510589613579</v>
      </c>
      <c r="X75" s="18">
        <f t="shared" si="11"/>
        <v>0.18590196954418667</v>
      </c>
      <c r="Y75" s="19">
        <f t="shared" si="12"/>
        <v>-1.997670357420489E-3</v>
      </c>
      <c r="Z75" s="30"/>
    </row>
    <row r="76" spans="19:26" x14ac:dyDescent="0.35">
      <c r="S76" s="12">
        <f t="shared" si="13"/>
        <v>3620.3867196751253</v>
      </c>
      <c r="T76" s="10">
        <f t="shared" si="7"/>
        <v>1.3199910519432478E-3</v>
      </c>
      <c r="U76" s="11">
        <f t="shared" si="8"/>
        <v>-4.1416561874996205E-4</v>
      </c>
      <c r="V76" s="11">
        <f t="shared" si="9"/>
        <v>-1.7341566706932099E-3</v>
      </c>
      <c r="W76">
        <f t="shared" si="10"/>
        <v>0.4739075134035593</v>
      </c>
      <c r="X76" s="18">
        <f t="shared" si="11"/>
        <v>0.22041634610001598</v>
      </c>
      <c r="Y76" s="19">
        <f t="shared" si="12"/>
        <v>-1.6696215990616992E-3</v>
      </c>
      <c r="Z76" s="30"/>
    </row>
    <row r="77" spans="19:26" x14ac:dyDescent="0.35">
      <c r="S77" s="12">
        <f t="shared" si="13"/>
        <v>3948.0597130443307</v>
      </c>
      <c r="T77" s="10">
        <f t="shared" si="7"/>
        <v>1.1099798601605926E-3</v>
      </c>
      <c r="U77" s="11">
        <f t="shared" si="8"/>
        <v>-3.482717051781492E-4</v>
      </c>
      <c r="V77" s="11">
        <f t="shared" si="9"/>
        <v>-1.4582515653387418E-3</v>
      </c>
      <c r="W77">
        <f t="shared" si="10"/>
        <v>0.51679980793474567</v>
      </c>
      <c r="X77" s="18">
        <f t="shared" si="11"/>
        <v>0.26119030985149644</v>
      </c>
      <c r="Y77" s="19">
        <f t="shared" si="12"/>
        <v>-1.3937850724623502E-3</v>
      </c>
      <c r="Z77" s="30"/>
    </row>
    <row r="78" spans="19:26" x14ac:dyDescent="0.35">
      <c r="S78" s="12">
        <f t="shared" si="13"/>
        <v>4305.3896460990209</v>
      </c>
      <c r="T78" s="10">
        <f t="shared" si="7"/>
        <v>9.3338099534889807E-4</v>
      </c>
      <c r="U78" s="11">
        <f t="shared" si="8"/>
        <v>-2.9286136255279871E-4</v>
      </c>
      <c r="V78" s="11">
        <f t="shared" si="9"/>
        <v>-1.2262423579016968E-3</v>
      </c>
      <c r="W78">
        <f t="shared" si="10"/>
        <v>0.56357418679276017</v>
      </c>
      <c r="X78" s="18">
        <f t="shared" si="11"/>
        <v>0.30929771078739127</v>
      </c>
      <c r="Y78" s="19">
        <f t="shared" si="12"/>
        <v>-1.1618583387384973E-3</v>
      </c>
      <c r="Z78" s="30"/>
    </row>
    <row r="79" spans="19:26" x14ac:dyDescent="0.35">
      <c r="S79" s="12">
        <f t="shared" si="13"/>
        <v>4695.060701207919</v>
      </c>
      <c r="T79" s="10">
        <f t="shared" si="7"/>
        <v>7.8487879019917273E-4</v>
      </c>
      <c r="U79" s="11">
        <f t="shared" si="8"/>
        <v>-2.4626673047123404E-4</v>
      </c>
      <c r="V79" s="11">
        <f t="shared" si="9"/>
        <v>-1.0311455206704068E-3</v>
      </c>
      <c r="W79">
        <f t="shared" si="10"/>
        <v>0.61458200862803924</v>
      </c>
      <c r="X79" s="18">
        <f t="shared" si="11"/>
        <v>0.36597092154784067</v>
      </c>
      <c r="Y79" s="19">
        <f t="shared" si="12"/>
        <v>-9.66860533864633E-4</v>
      </c>
      <c r="Z79" s="30"/>
    </row>
    <row r="80" spans="19:26" x14ac:dyDescent="0.35">
      <c r="S80" s="12">
        <f t="shared" si="13"/>
        <v>5120.0000000000027</v>
      </c>
      <c r="T80" s="10">
        <f t="shared" si="7"/>
        <v>6.6000321541537232E-4</v>
      </c>
      <c r="U80" s="11">
        <f t="shared" si="8"/>
        <v>-2.0708527793544818E-4</v>
      </c>
      <c r="V80" s="11">
        <f t="shared" si="9"/>
        <v>-8.670884933508205E-4</v>
      </c>
      <c r="W80">
        <f t="shared" si="10"/>
        <v>0.67020643276582292</v>
      </c>
      <c r="X80" s="18">
        <f t="shared" si="11"/>
        <v>0.43261308534832082</v>
      </c>
      <c r="Y80" s="19">
        <f t="shared" si="12"/>
        <v>-8.0292233664458479E-4</v>
      </c>
      <c r="Z80" s="30"/>
    </row>
    <row r="81" spans="19:26" x14ac:dyDescent="0.35">
      <c r="S81" s="12">
        <f t="shared" si="13"/>
        <v>5583.3995912461223</v>
      </c>
      <c r="T81" s="10">
        <f t="shared" si="7"/>
        <v>5.5499536608749622E-4</v>
      </c>
      <c r="U81" s="11">
        <f t="shared" si="8"/>
        <v>-1.7413759813678098E-4</v>
      </c>
      <c r="V81" s="11">
        <f t="shared" si="9"/>
        <v>-7.291329642242772E-4</v>
      </c>
      <c r="W81">
        <f t="shared" si="10"/>
        <v>0.73086529741312789</v>
      </c>
      <c r="X81" s="18">
        <f t="shared" si="11"/>
        <v>0.51080583424792492</v>
      </c>
      <c r="Y81" s="19">
        <f t="shared" si="12"/>
        <v>-6.6510938082409155E-4</v>
      </c>
      <c r="Z81" s="30"/>
    </row>
    <row r="82" spans="19:26" x14ac:dyDescent="0.35">
      <c r="S82" s="12">
        <f t="shared" si="13"/>
        <v>6088.7404288139351</v>
      </c>
      <c r="T82" s="10">
        <f t="shared" si="7"/>
        <v>4.6669434077273309E-4</v>
      </c>
      <c r="U82" s="11">
        <f t="shared" si="8"/>
        <v>-1.4643191556729107E-4</v>
      </c>
      <c r="V82" s="11">
        <f t="shared" si="9"/>
        <v>-6.1312625634002416E-4</v>
      </c>
      <c r="W82">
        <f t="shared" si="10"/>
        <v>0.79701425836570938</v>
      </c>
      <c r="X82" s="18">
        <f t="shared" si="11"/>
        <v>0.60230911866984871</v>
      </c>
      <c r="Y82" s="19">
        <f t="shared" si="12"/>
        <v>-5.492738080228321E-4</v>
      </c>
      <c r="Z82" s="30"/>
    </row>
    <row r="83" spans="19:26" x14ac:dyDescent="0.35">
      <c r="S83" s="12">
        <f t="shared" si="13"/>
        <v>6639.8185198131732</v>
      </c>
      <c r="T83" s="10">
        <f t="shared" si="7"/>
        <v>3.9244211211553193E-4</v>
      </c>
      <c r="U83" s="11">
        <f t="shared" si="8"/>
        <v>-1.2313423802368106E-4</v>
      </c>
      <c r="V83" s="11">
        <f t="shared" si="9"/>
        <v>-5.1557635013921299E-4</v>
      </c>
      <c r="W83">
        <f t="shared" si="10"/>
        <v>0.86915021179227159</v>
      </c>
      <c r="X83" s="18">
        <f t="shared" si="11"/>
        <v>0.70904833589633898</v>
      </c>
      <c r="Y83" s="19">
        <f t="shared" si="12"/>
        <v>-4.5192950532513265E-4</v>
      </c>
      <c r="Z83" s="30"/>
    </row>
    <row r="84" spans="19:26" x14ac:dyDescent="0.35">
      <c r="S84" s="12">
        <f t="shared" si="13"/>
        <v>7240.7734393502506</v>
      </c>
      <c r="T84" s="10">
        <f t="shared" si="7"/>
        <v>3.30003528688394E-4</v>
      </c>
      <c r="U84" s="11">
        <f t="shared" si="8"/>
        <v>-1.0354325611672266E-4</v>
      </c>
      <c r="V84" s="11">
        <f t="shared" si="9"/>
        <v>-4.3354678480511666E-4</v>
      </c>
      <c r="W84">
        <f t="shared" si="10"/>
        <v>0.9478150268071186</v>
      </c>
      <c r="X84" s="18">
        <f t="shared" si="11"/>
        <v>0.83308201877198185</v>
      </c>
      <c r="Y84" s="19">
        <f t="shared" si="12"/>
        <v>-3.7014728594852997E-4</v>
      </c>
      <c r="Z84" s="30"/>
    </row>
    <row r="85" spans="19:26" x14ac:dyDescent="0.35">
      <c r="S85" s="12">
        <f t="shared" si="13"/>
        <v>7896.1194260886614</v>
      </c>
      <c r="T85" s="10">
        <f t="shared" si="7"/>
        <v>2.7749904121776581E-4</v>
      </c>
      <c r="U85" s="11">
        <f t="shared" si="8"/>
        <v>-8.7069235462422512E-5</v>
      </c>
      <c r="V85" s="11">
        <f t="shared" si="9"/>
        <v>-3.6456827668018832E-4</v>
      </c>
      <c r="W85">
        <f t="shared" si="10"/>
        <v>1.0335996158694913</v>
      </c>
      <c r="X85" s="18">
        <f t="shared" si="11"/>
        <v>0.9765408614456651</v>
      </c>
      <c r="Y85" s="19">
        <f t="shared" si="12"/>
        <v>-3.0146687580001608E-4</v>
      </c>
      <c r="Z85" s="30"/>
    </row>
    <row r="86" spans="19:26" x14ac:dyDescent="0.35">
      <c r="S86" s="12">
        <f t="shared" si="13"/>
        <v>8610.7792921980417</v>
      </c>
      <c r="T86" s="10">
        <f t="shared" si="7"/>
        <v>2.3334813066355764E-4</v>
      </c>
      <c r="U86" s="11">
        <f t="shared" si="8"/>
        <v>-7.3216266358144821E-5</v>
      </c>
      <c r="V86" s="11">
        <f t="shared" si="9"/>
        <v>-3.0656439702170246E-4</v>
      </c>
      <c r="W86">
        <f t="shared" si="10"/>
        <v>1.1271483735855203</v>
      </c>
      <c r="X86" s="18">
        <f t="shared" si="11"/>
        <v>1.1415257692512444</v>
      </c>
      <c r="Y86" s="19">
        <f t="shared" si="12"/>
        <v>-2.4382308184800472E-4</v>
      </c>
      <c r="Z86" s="30"/>
    </row>
    <row r="87" spans="19:26" x14ac:dyDescent="0.35">
      <c r="S87" s="12">
        <f t="shared" si="13"/>
        <v>9390.121402415838</v>
      </c>
      <c r="T87" s="10">
        <f t="shared" si="7"/>
        <v>1.962217350381934E-4</v>
      </c>
      <c r="U87" s="11">
        <f t="shared" si="8"/>
        <v>-6.1567337198198402E-5</v>
      </c>
      <c r="V87" s="11">
        <f t="shared" si="9"/>
        <v>-2.577890722363918E-4</v>
      </c>
      <c r="W87">
        <f t="shared" si="10"/>
        <v>1.2291640172560785</v>
      </c>
      <c r="X87" s="18">
        <f t="shared" si="11"/>
        <v>1.3299489707727872</v>
      </c>
      <c r="Y87" s="19">
        <f t="shared" si="12"/>
        <v>-1.9548395724822143E-4</v>
      </c>
      <c r="Z87" s="30"/>
    </row>
    <row r="88" spans="19:26" x14ac:dyDescent="0.35">
      <c r="S88" s="12">
        <f t="shared" si="13"/>
        <v>10240.000000000005</v>
      </c>
      <c r="T88" s="10">
        <f t="shared" si="7"/>
        <v>1.6500224441529099E-4</v>
      </c>
      <c r="U88" s="11">
        <f t="shared" si="8"/>
        <v>-5.1771782338505545E-5</v>
      </c>
      <c r="V88" s="11">
        <f t="shared" si="9"/>
        <v>-2.1677402675379653E-4</v>
      </c>
      <c r="W88">
        <f t="shared" si="10"/>
        <v>1.3404128655316458</v>
      </c>
      <c r="X88" s="18">
        <f t="shared" si="11"/>
        <v>1.54329825977869</v>
      </c>
      <c r="Y88" s="19">
        <f t="shared" si="12"/>
        <v>-1.5499915925420993E-4</v>
      </c>
      <c r="Z88" s="30"/>
    </row>
    <row r="89" spans="19:26" x14ac:dyDescent="0.35">
      <c r="S89" s="12">
        <f t="shared" si="13"/>
        <v>11166.799182492245</v>
      </c>
      <c r="T89" s="10">
        <f t="shared" si="7"/>
        <v>1.387498600422532E-4</v>
      </c>
      <c r="U89" s="11">
        <f t="shared" si="8"/>
        <v>-4.3534726827942904E-5</v>
      </c>
      <c r="V89" s="11">
        <f t="shared" si="9"/>
        <v>-1.8228458687019611E-4</v>
      </c>
      <c r="W89">
        <f t="shared" si="10"/>
        <v>1.4617305948262558</v>
      </c>
      <c r="X89" s="18">
        <f t="shared" si="11"/>
        <v>1.7823007366899815</v>
      </c>
      <c r="Y89" s="19">
        <f t="shared" si="12"/>
        <v>-1.2115703580395376E-4</v>
      </c>
      <c r="Z89" s="30"/>
    </row>
    <row r="90" spans="19:26" x14ac:dyDescent="0.35">
      <c r="S90" s="12">
        <f t="shared" si="13"/>
        <v>12177.48085762787</v>
      </c>
      <c r="T90" s="10">
        <f t="shared" ref="T90:T96" si="14">(40*LOG(S90/$B$3))-10*LOG(((((S90/$B$3)^2)-1)^2)+((S90/($B$3*$B$4))^2))</f>
        <v>1.1667430534600953E-4</v>
      </c>
      <c r="U90" s="11">
        <f t="shared" ref="U90:U96" si="15">40*LOG(S90/$B$5)-10*LOG(((((S90/$B$5)^2)-1)^2)+((S90/($B$5*$B$6))^2))</f>
        <v>-3.6608210322697232E-5</v>
      </c>
      <c r="V90" s="11">
        <f t="shared" ref="V90:V96" si="16">U90-T90</f>
        <v>-1.5328251566870676E-4</v>
      </c>
      <c r="W90">
        <f t="shared" ref="W90:W96" si="17">2*PI()*S90/$B$10</f>
        <v>1.5940285167314188</v>
      </c>
      <c r="X90" s="18">
        <f t="shared" ref="X90:X96" si="18">4*SIN(W90/2)^2</f>
        <v>2.0464602002465448</v>
      </c>
      <c r="Y90" s="19">
        <f t="shared" ref="Y90:Y96" si="19">10*LOG10(($B$19+$B$20+$B$21)^2 + ( $B$19*$B$21*X90 - ($B$20*($B$19+$B$21) + 4*$B$19*$B$21) )*X90 )  - 10*LOG10( (1+$Z$2+$Z$3)^2 + ( 1*$Z$3*X90 - ($Z$2*(1+$Z$3) + 4*1*$Z$3) )*X90)</f>
        <v>-9.2949294963062812E-5</v>
      </c>
      <c r="Z90" s="30"/>
    </row>
    <row r="91" spans="19:26" x14ac:dyDescent="0.35">
      <c r="S91" s="12">
        <f t="shared" si="13"/>
        <v>13279.637039626346</v>
      </c>
      <c r="T91" s="10">
        <f t="shared" si="14"/>
        <v>9.8111037232229137E-5</v>
      </c>
      <c r="U91" s="11">
        <f t="shared" si="15"/>
        <v>-3.078372316167588E-5</v>
      </c>
      <c r="V91" s="11">
        <f t="shared" si="16"/>
        <v>-1.2889476039390502E-4</v>
      </c>
      <c r="W91">
        <f t="shared" si="17"/>
        <v>1.7383004235845432</v>
      </c>
      <c r="X91" s="18">
        <f t="shared" si="18"/>
        <v>2.3334438009479883</v>
      </c>
      <c r="Y91" s="19">
        <f t="shared" si="19"/>
        <v>-6.9542435121583424E-5</v>
      </c>
      <c r="Z91" s="30"/>
    </row>
    <row r="92" spans="19:26" x14ac:dyDescent="0.35">
      <c r="S92" s="12">
        <f t="shared" si="13"/>
        <v>14481.546878700501</v>
      </c>
      <c r="T92" s="10">
        <f t="shared" si="14"/>
        <v>8.2501242189891855E-5</v>
      </c>
      <c r="U92" s="11">
        <f t="shared" si="15"/>
        <v>-2.5885929758828752E-5</v>
      </c>
      <c r="V92" s="11">
        <f t="shared" si="16"/>
        <v>-1.0838717194872061E-4</v>
      </c>
      <c r="W92">
        <f t="shared" si="17"/>
        <v>1.8956300536142372</v>
      </c>
      <c r="X92" s="18">
        <f t="shared" si="18"/>
        <v>2.6383024250867271</v>
      </c>
      <c r="Y92" s="19">
        <f t="shared" si="19"/>
        <v>-5.0255485943395684E-5</v>
      </c>
      <c r="Z92" s="30"/>
    </row>
    <row r="93" spans="19:26" x14ac:dyDescent="0.35">
      <c r="S93" s="12">
        <f t="shared" si="13"/>
        <v>15792.238852177323</v>
      </c>
      <c r="T93" s="10">
        <f t="shared" si="14"/>
        <v>6.9375014874140106E-5</v>
      </c>
      <c r="U93" s="11">
        <f t="shared" si="15"/>
        <v>-2.1767390677496223E-5</v>
      </c>
      <c r="V93" s="11">
        <f t="shared" si="16"/>
        <v>-9.114240555163633E-5</v>
      </c>
      <c r="W93">
        <f t="shared" si="17"/>
        <v>2.0671992317389827</v>
      </c>
      <c r="X93" s="18">
        <f t="shared" si="18"/>
        <v>2.952531391709619</v>
      </c>
      <c r="Y93" s="19">
        <f t="shared" si="19"/>
        <v>-3.4544107300860105E-5</v>
      </c>
      <c r="Z93" s="30"/>
    </row>
    <row r="94" spans="19:26" x14ac:dyDescent="0.35">
      <c r="S94" s="12">
        <f t="shared" si="13"/>
        <v>17221.558584396083</v>
      </c>
      <c r="T94" s="10">
        <f t="shared" si="14"/>
        <v>5.8337212678338801E-5</v>
      </c>
      <c r="U94" s="11">
        <f t="shared" si="15"/>
        <v>-1.8304124452583892E-5</v>
      </c>
      <c r="V94" s="11">
        <f t="shared" si="16"/>
        <v>-7.6641337130922693E-5</v>
      </c>
      <c r="W94">
        <f t="shared" si="17"/>
        <v>2.2542967471710407</v>
      </c>
      <c r="X94" s="18">
        <f t="shared" si="18"/>
        <v>3.2630219951403325</v>
      </c>
      <c r="Y94" s="19">
        <f t="shared" si="19"/>
        <v>-2.1991865974513303E-5</v>
      </c>
      <c r="Z94" s="30"/>
    </row>
    <row r="95" spans="19:26" x14ac:dyDescent="0.35">
      <c r="S95" s="12">
        <f t="shared" si="13"/>
        <v>18780.242804831676</v>
      </c>
      <c r="T95" s="10">
        <f t="shared" si="14"/>
        <v>4.9055561035515893E-5</v>
      </c>
      <c r="U95" s="11">
        <f t="shared" si="15"/>
        <v>-1.5391875209047612E-5</v>
      </c>
      <c r="V95" s="11">
        <f t="shared" si="16"/>
        <v>-6.4447436244563505E-5</v>
      </c>
      <c r="W95">
        <f t="shared" si="17"/>
        <v>2.458328034512157</v>
      </c>
      <c r="X95" s="18">
        <f t="shared" si="18"/>
        <v>3.5510316182315527</v>
      </c>
      <c r="Y95" s="19">
        <f t="shared" si="19"/>
        <v>-1.2310872383736182E-5</v>
      </c>
      <c r="Z95" s="30"/>
    </row>
    <row r="96" spans="19:26" x14ac:dyDescent="0.35">
      <c r="S96" s="12">
        <f t="shared" si="13"/>
        <v>20480.000000000011</v>
      </c>
      <c r="T96" s="10">
        <f t="shared" si="14"/>
        <v>4.1250651108271086E-5</v>
      </c>
      <c r="U96" s="11">
        <f t="shared" si="15"/>
        <v>-1.2942974507268445E-5</v>
      </c>
      <c r="V96" s="11">
        <f t="shared" si="16"/>
        <v>-5.4193625615539531E-5</v>
      </c>
      <c r="W96">
        <f t="shared" si="17"/>
        <v>2.6808257310632917</v>
      </c>
      <c r="X96" s="18">
        <f t="shared" si="18"/>
        <v>3.7914235204788267</v>
      </c>
      <c r="Y96" s="19">
        <f t="shared" si="19"/>
        <v>-5.3566180966413413E-6</v>
      </c>
      <c r="Z96" s="30"/>
    </row>
    <row r="97" spans="19:26" x14ac:dyDescent="0.35">
      <c r="S97" s="12"/>
      <c r="T97" s="10"/>
      <c r="U97" s="11"/>
      <c r="V97" s="11"/>
      <c r="X97" s="18"/>
      <c r="Y97" s="19"/>
      <c r="Z97" s="30"/>
    </row>
    <row r="98" spans="19:26" x14ac:dyDescent="0.35">
      <c r="S98" s="12"/>
      <c r="T98" s="10"/>
      <c r="U98" s="11"/>
      <c r="V98" s="11"/>
      <c r="X98" s="18"/>
      <c r="Y98" s="19"/>
    </row>
    <row r="99" spans="19:26" x14ac:dyDescent="0.35">
      <c r="S99" s="12"/>
      <c r="T99" s="10"/>
      <c r="U99" s="11"/>
      <c r="V99" s="11"/>
      <c r="X99" s="18"/>
      <c r="Y99" s="19"/>
    </row>
  </sheetData>
  <sheetProtection selectLockedCells="1" selectUnlockedCells="1"/>
  <mergeCells count="1">
    <mergeCell ref="A14:C14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3" max="25" width="10.54296875" bestFit="1" customWidth="1"/>
    <col min="27" max="27" width="17.54296875" bestFit="1" customWidth="1"/>
    <col min="28" max="28" width="12.7265625" bestFit="1" customWidth="1"/>
    <col min="29" max="29" width="12" bestFit="1" customWidth="1"/>
    <col min="30" max="30" width="12.7265625" customWidth="1"/>
    <col min="31" max="31" width="10.54296875" bestFit="1" customWidth="1"/>
    <col min="32" max="33" width="17.54296875" bestFit="1" customWidth="1"/>
    <col min="36" max="37" width="17.54296875" bestFit="1" customWidth="1"/>
  </cols>
  <sheetData>
    <row r="1" spans="1:37" x14ac:dyDescent="0.35">
      <c r="Z1" t="s">
        <v>19</v>
      </c>
      <c r="AA1" s="22">
        <v>1</v>
      </c>
      <c r="AB1" t="s">
        <v>22</v>
      </c>
      <c r="AC1" s="31" t="e">
        <f>(1+COS($AB$4))/2</f>
        <v>#VALUE!</v>
      </c>
      <c r="AE1" t="s">
        <v>42</v>
      </c>
      <c r="AF1" s="22">
        <f>AA2^2-4*AA1*AA3</f>
        <v>-2.3747913071874294E-3</v>
      </c>
      <c r="AG1" s="22">
        <f>B16^2-4*B15*B17</f>
        <v>-3.3544818820470113E-3</v>
      </c>
      <c r="AI1" t="s">
        <v>48</v>
      </c>
      <c r="AJ1" s="22">
        <f>IF(AF1&lt;0,AF5,AF2)</f>
        <v>0.98553080453953501</v>
      </c>
      <c r="AK1" s="22">
        <f>IF(AF1&lt;0,AF5,AF2)</f>
        <v>0.98553080453953501</v>
      </c>
    </row>
    <row r="2" spans="1:37" x14ac:dyDescent="0.35">
      <c r="A2" s="1" t="s">
        <v>56</v>
      </c>
      <c r="B2" s="6"/>
      <c r="Z2" t="s">
        <v>20</v>
      </c>
      <c r="AA2" s="22">
        <f>ROUND(-B12,14)</f>
        <v>-1.97106160907907</v>
      </c>
      <c r="AB2" t="s">
        <v>23</v>
      </c>
      <c r="AC2" s="31" t="e">
        <f>1+COS($AB$4)</f>
        <v>#VALUE!</v>
      </c>
      <c r="AE2" t="s">
        <v>43</v>
      </c>
      <c r="AF2" s="22" t="e">
        <f>(-AA2-SQRT(AF1))/2*AA1</f>
        <v>#NUM!</v>
      </c>
      <c r="AG2" s="22" t="e">
        <f>(-B16-SQRT(AG1))/2*B15</f>
        <v>#NUM!</v>
      </c>
      <c r="AJ2" s="22">
        <f>IF(AF1&lt;0,AF6,0)</f>
        <v>2.4365915266963755E-2</v>
      </c>
      <c r="AK2" s="22">
        <f>IF(AF1&lt;0,-AF6,0)</f>
        <v>-2.4365915266963755E-2</v>
      </c>
    </row>
    <row r="3" spans="1:37" x14ac:dyDescent="0.35">
      <c r="A3" t="s">
        <v>50</v>
      </c>
      <c r="B3" s="26">
        <v>200</v>
      </c>
      <c r="C3" t="s">
        <v>4</v>
      </c>
      <c r="Z3" t="s">
        <v>21</v>
      </c>
      <c r="AA3" s="22">
        <f>ROUND(-B13,14)</f>
        <v>0.97186466452314002</v>
      </c>
      <c r="AB3" t="s">
        <v>24</v>
      </c>
      <c r="AC3" s="31" t="e">
        <f>(1+COS($AB$4))/2</f>
        <v>#VALUE!</v>
      </c>
      <c r="AE3" t="s">
        <v>44</v>
      </c>
      <c r="AF3" s="22" t="e">
        <f>(-AA2-SQRT(AF1))/2*AA1</f>
        <v>#NUM!</v>
      </c>
      <c r="AG3" s="22" t="e">
        <f>(-B16-SQRT(AG1))/2*B15</f>
        <v>#NUM!</v>
      </c>
    </row>
    <row r="4" spans="1:37" x14ac:dyDescent="0.35">
      <c r="A4" t="s">
        <v>51</v>
      </c>
      <c r="B4" s="26">
        <v>1</v>
      </c>
      <c r="AB4" t="s">
        <v>52</v>
      </c>
      <c r="AC4" t="e">
        <f>2*PI()*$B$3/($B$6*4)</f>
        <v>#DIV/0!</v>
      </c>
      <c r="AF4" s="22"/>
      <c r="AG4" s="22"/>
      <c r="AI4" t="s">
        <v>49</v>
      </c>
      <c r="AJ4" s="22">
        <f>IF(AG1&lt;0,AG5,AG2)</f>
        <v>0.98785145469576008</v>
      </c>
      <c r="AK4" s="22">
        <f>IF(AG1&lt;0,AG5,AG2)</f>
        <v>0.98785145469576008</v>
      </c>
    </row>
    <row r="5" spans="1:37" x14ac:dyDescent="0.35">
      <c r="A5" t="s">
        <v>65</v>
      </c>
      <c r="B5" s="26">
        <v>3</v>
      </c>
      <c r="C5" t="s">
        <v>14</v>
      </c>
      <c r="AB5" t="s">
        <v>53</v>
      </c>
      <c r="AC5">
        <f>SIN($B$22)/(2*$B$4)</f>
        <v>1.3088474153936576E-2</v>
      </c>
      <c r="AE5" t="s">
        <v>45</v>
      </c>
      <c r="AF5" s="22">
        <f>-AA2/(2*AA1)</f>
        <v>0.98553080453953501</v>
      </c>
      <c r="AG5" s="22">
        <f>-B16/(2*B15)</f>
        <v>0.98785145469576008</v>
      </c>
      <c r="AH5" s="1"/>
      <c r="AJ5" s="22">
        <f>IF(AG1&lt;0,AG6,0)</f>
        <v>2.0548415194953158E-2</v>
      </c>
      <c r="AK5" s="22">
        <f>IF(AG1&lt;0,-AG6,0)</f>
        <v>-2.0548415194953158E-2</v>
      </c>
    </row>
    <row r="6" spans="1:37" x14ac:dyDescent="0.35"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E6" t="s">
        <v>46</v>
      </c>
      <c r="AF6" s="22">
        <f>SQRT(-AF1)/(2*AA1)</f>
        <v>2.4365915266963755E-2</v>
      </c>
      <c r="AG6" s="22">
        <f>SQRT(-AG1)/(2*B15)</f>
        <v>2.0548415194953158E-2</v>
      </c>
    </row>
    <row r="7" spans="1:37" x14ac:dyDescent="0.35">
      <c r="A7" t="s">
        <v>16</v>
      </c>
      <c r="B7" s="6">
        <v>48000</v>
      </c>
      <c r="C7" t="s">
        <v>4</v>
      </c>
      <c r="S7" s="7" t="s">
        <v>4</v>
      </c>
      <c r="V7" s="17" t="s">
        <v>14</v>
      </c>
      <c r="W7" s="16"/>
      <c r="X7" s="16"/>
      <c r="Y7" s="16"/>
      <c r="AE7" t="s">
        <v>47</v>
      </c>
      <c r="AF7" s="22">
        <f>SQRT(AF5^2+AF6^2)</f>
        <v>0.98583196566308395</v>
      </c>
    </row>
    <row r="8" spans="1:37" x14ac:dyDescent="0.35">
      <c r="B8" s="6"/>
      <c r="S8" s="9">
        <v>10</v>
      </c>
      <c r="T8">
        <f>2*PI()*S8/$B$7</f>
        <v>1.308996938995747E-3</v>
      </c>
      <c r="U8" s="18">
        <f t="shared" ref="U8:U39" si="0">4*SIN(T8/2)^2</f>
        <v>1.7134727416344432E-6</v>
      </c>
      <c r="V8" s="19">
        <f t="shared" ref="V8:V39" si="1">10*LOG10(($B$15+$B$16+$B$17)^2 + ( $B$15*$B$17*U8 - ($B$16*($B$15+$B$17) + 4*$B$15*$B$17) )*U8 )  - 10*LOG10( (1+$AA$2+$AA$3)^2 + ( 1*$AA$3*U8 - ($AA$2*(1+$AA$3) + 4*1*$AA$3) )*U8)</f>
        <v>-3.7586285015507315E-3</v>
      </c>
      <c r="Y8" s="27"/>
      <c r="AD8" s="27"/>
      <c r="AF8" s="22"/>
    </row>
    <row r="9" spans="1:37" ht="15" customHeight="1" x14ac:dyDescent="0.35">
      <c r="A9" s="33" t="s">
        <v>54</v>
      </c>
      <c r="B9" s="33"/>
      <c r="C9" s="33"/>
      <c r="D9" s="1"/>
      <c r="S9" s="12">
        <f t="shared" ref="S9:S40" si="2">S8*2^(1/8)</f>
        <v>10.905077326652577</v>
      </c>
      <c r="T9">
        <f t="shared" ref="T9:T72" si="3">2*PI()*S9/$B$7</f>
        <v>1.427471284010015E-3</v>
      </c>
      <c r="U9" s="18">
        <f t="shared" si="0"/>
        <v>2.0376739206635231E-6</v>
      </c>
      <c r="V9" s="19">
        <f t="shared" si="1"/>
        <v>-4.4676126822480455E-3</v>
      </c>
      <c r="AD9" s="27"/>
      <c r="AF9" s="22">
        <f>IF(AF1&lt;0,AF7,AF2)</f>
        <v>0.98583196566308395</v>
      </c>
    </row>
    <row r="10" spans="1:37" ht="15" customHeight="1" x14ac:dyDescent="0.35">
      <c r="A10" s="33" t="s">
        <v>55</v>
      </c>
      <c r="B10" s="33"/>
      <c r="C10" s="33"/>
      <c r="S10" s="12">
        <f t="shared" si="2"/>
        <v>11.892071150027212</v>
      </c>
      <c r="T10">
        <f t="shared" si="3"/>
        <v>1.5566684733705255E-3</v>
      </c>
      <c r="U10" s="18">
        <f t="shared" si="0"/>
        <v>2.4232162466541498E-6</v>
      </c>
      <c r="V10" s="19">
        <f t="shared" si="1"/>
        <v>-5.3098342817960997E-3</v>
      </c>
      <c r="AD10" s="27"/>
    </row>
    <row r="11" spans="1:37" x14ac:dyDescent="0.35">
      <c r="A11" t="s">
        <v>19</v>
      </c>
      <c r="B11" s="23">
        <v>1</v>
      </c>
      <c r="S11" s="12">
        <f t="shared" si="2"/>
        <v>12.968395546510099</v>
      </c>
      <c r="T11">
        <f t="shared" si="3"/>
        <v>1.6975590074067798E-3</v>
      </c>
      <c r="U11" s="18">
        <f t="shared" si="0"/>
        <v>2.8817058916085552E-6</v>
      </c>
      <c r="V11" s="19">
        <f t="shared" si="1"/>
        <v>-6.3101224647965637E-3</v>
      </c>
      <c r="AD11" s="27"/>
    </row>
    <row r="12" spans="1:37" x14ac:dyDescent="0.35">
      <c r="A12" t="s">
        <v>20</v>
      </c>
      <c r="B12" s="20">
        <f>-(2*((B21-1)-(B21+1)*COS(B22)))/B24</f>
        <v>1.9710616090790669</v>
      </c>
      <c r="S12" s="12">
        <f t="shared" si="2"/>
        <v>14.142135623730953</v>
      </c>
      <c r="T12">
        <f t="shared" si="3"/>
        <v>1.8512012242326529E-3</v>
      </c>
      <c r="U12" s="18">
        <f t="shared" si="0"/>
        <v>3.4269449939373591E-6</v>
      </c>
      <c r="V12" s="19">
        <f t="shared" si="1"/>
        <v>-7.4978436924979519E-3</v>
      </c>
      <c r="AD12" s="27"/>
    </row>
    <row r="13" spans="1:37" ht="15" customHeight="1" x14ac:dyDescent="0.35">
      <c r="A13" t="s">
        <v>21</v>
      </c>
      <c r="B13" s="20">
        <f>-((B21+1)-(B21-1)*COS(B22)-2*SQRT(B21)*B23)/B24</f>
        <v>-0.97186466452313702</v>
      </c>
      <c r="C13" s="25"/>
      <c r="S13" s="12">
        <f t="shared" si="2"/>
        <v>15.422108254079411</v>
      </c>
      <c r="T13">
        <f t="shared" si="3"/>
        <v>2.0187492497450994E-3</v>
      </c>
      <c r="U13" s="18">
        <f t="shared" si="0"/>
        <v>4.0753471493077851E-6</v>
      </c>
      <c r="V13" s="19">
        <f t="shared" si="1"/>
        <v>-8.9076916303980624E-3</v>
      </c>
      <c r="AD13" s="27"/>
    </row>
    <row r="14" spans="1:37" ht="15" customHeight="1" x14ac:dyDescent="0.35">
      <c r="B14" s="21"/>
      <c r="C14" s="25"/>
      <c r="S14" s="12">
        <f t="shared" si="2"/>
        <v>16.817928305074293</v>
      </c>
      <c r="T14">
        <f t="shared" si="3"/>
        <v>2.2014616671592185E-3</v>
      </c>
      <c r="U14" s="18">
        <f t="shared" si="0"/>
        <v>4.8464315146453117E-6</v>
      </c>
      <c r="V14" s="19">
        <f t="shared" si="1"/>
        <v>-1.0580596680064502E-2</v>
      </c>
      <c r="AD14" s="27"/>
    </row>
    <row r="15" spans="1:37" x14ac:dyDescent="0.35">
      <c r="A15" t="s">
        <v>22</v>
      </c>
      <c r="B15" s="20">
        <f>(B21*((B21+1)+(B21-1)*COS(B22)+2*SQRT(B21)*B23))/B24</f>
        <v>1.4093030675886382</v>
      </c>
      <c r="S15" s="12">
        <f t="shared" si="2"/>
        <v>18.340080864093427</v>
      </c>
      <c r="T15">
        <f t="shared" si="3"/>
        <v>2.4007109712032774E-3</v>
      </c>
      <c r="U15" s="18">
        <f t="shared" si="0"/>
        <v>5.7634103991787035E-6</v>
      </c>
      <c r="V15" s="19">
        <f t="shared" si="1"/>
        <v>-1.2564764431729714E-2</v>
      </c>
      <c r="AD15" s="27"/>
    </row>
    <row r="16" spans="1:37" x14ac:dyDescent="0.35">
      <c r="A16" t="s">
        <v>23</v>
      </c>
      <c r="B16" s="20">
        <f>(-2*B21*((B21-1)+(B21+1)*COS(B22)))/B24</f>
        <v>-2.7843641708492668</v>
      </c>
      <c r="S16" s="12">
        <f t="shared" si="2"/>
        <v>20.000000000000004</v>
      </c>
      <c r="T16">
        <f t="shared" si="3"/>
        <v>2.6179938779914949E-3</v>
      </c>
      <c r="U16" s="18">
        <f t="shared" si="0"/>
        <v>6.8538880305489414E-6</v>
      </c>
      <c r="V16" s="19">
        <f t="shared" si="1"/>
        <v>-1.491684789168346E-2</v>
      </c>
      <c r="AD16" s="27"/>
    </row>
    <row r="17" spans="1:30" x14ac:dyDescent="0.35">
      <c r="A17" t="s">
        <v>24</v>
      </c>
      <c r="B17" s="20">
        <f>(B21*((B21+1)+(B21-1)*COS(B22)-2*SQRT(B21)*B23))/B24</f>
        <v>1.3758641587046989</v>
      </c>
      <c r="S17" s="12">
        <f t="shared" si="2"/>
        <v>21.810154653305158</v>
      </c>
      <c r="T17">
        <f t="shared" si="3"/>
        <v>2.8549425680200304E-3</v>
      </c>
      <c r="U17" s="18">
        <f t="shared" si="0"/>
        <v>8.1506915305390883E-6</v>
      </c>
      <c r="V17" s="19">
        <f t="shared" si="1"/>
        <v>-1.7703250015792094E-2</v>
      </c>
      <c r="AD17" s="27"/>
    </row>
    <row r="18" spans="1:30" x14ac:dyDescent="0.35">
      <c r="S18" s="12">
        <f t="shared" si="2"/>
        <v>23.784142300054427</v>
      </c>
      <c r="T18">
        <f t="shared" si="3"/>
        <v>3.1133369467410514E-3</v>
      </c>
      <c r="U18" s="18">
        <f t="shared" si="0"/>
        <v>9.6928591146396239E-6</v>
      </c>
      <c r="V18" s="19">
        <f t="shared" si="1"/>
        <v>-2.1001538556369326E-2</v>
      </c>
      <c r="AD18" s="27"/>
    </row>
    <row r="19" spans="1:30" x14ac:dyDescent="0.35">
      <c r="A19" t="s">
        <v>34</v>
      </c>
      <c r="B19" s="24" t="str">
        <f>IF(ABS(AF9)&lt;1,"Stable","Not stable")</f>
        <v>Stable</v>
      </c>
      <c r="S19" s="12">
        <f t="shared" si="2"/>
        <v>25.936791093020201</v>
      </c>
      <c r="T19">
        <f t="shared" si="3"/>
        <v>3.39511801481356E-3</v>
      </c>
      <c r="U19" s="18">
        <f t="shared" si="0"/>
        <v>1.1526815262205378E-5</v>
      </c>
      <c r="V19" s="19">
        <f t="shared" si="1"/>
        <v>-2.4901930853737042E-2</v>
      </c>
      <c r="AD19" s="27"/>
    </row>
    <row r="20" spans="1:30" x14ac:dyDescent="0.35">
      <c r="S20" s="12">
        <f t="shared" si="2"/>
        <v>28.284271247461909</v>
      </c>
      <c r="T20">
        <f t="shared" si="3"/>
        <v>3.7024024484653062E-3</v>
      </c>
      <c r="U20" s="18">
        <f t="shared" si="0"/>
        <v>1.3707768231797451E-5</v>
      </c>
      <c r="V20" s="19">
        <f t="shared" si="1"/>
        <v>-2.9508766211222337E-2</v>
      </c>
      <c r="AD20" s="27"/>
    </row>
    <row r="21" spans="1:30" x14ac:dyDescent="0.35">
      <c r="A21" s="32" t="s">
        <v>66</v>
      </c>
      <c r="B21">
        <f>10^(B5/40)</f>
        <v>1.1885022274370185</v>
      </c>
      <c r="S21" s="12">
        <f t="shared" si="2"/>
        <v>30.844216508158826</v>
      </c>
      <c r="T21">
        <f t="shared" si="3"/>
        <v>4.0374984994901997E-3</v>
      </c>
      <c r="U21" s="18">
        <f t="shared" si="0"/>
        <v>1.6301371988776759E-5</v>
      </c>
      <c r="V21" s="19">
        <f t="shared" si="1"/>
        <v>-3.4941818736683672E-2</v>
      </c>
      <c r="AD21" s="27"/>
    </row>
    <row r="22" spans="1:30" x14ac:dyDescent="0.35">
      <c r="A22" t="s">
        <v>52</v>
      </c>
      <c r="B22">
        <f>2*PI()*B3/B7</f>
        <v>2.6179938779914945E-2</v>
      </c>
      <c r="S22" s="12">
        <f t="shared" si="2"/>
        <v>33.635856610148593</v>
      </c>
      <c r="T22">
        <f t="shared" si="3"/>
        <v>4.4029233343184379E-3</v>
      </c>
      <c r="U22" s="18">
        <f t="shared" si="0"/>
        <v>1.9385702570682833E-5</v>
      </c>
      <c r="V22" s="19">
        <f t="shared" si="1"/>
        <v>-4.1337199405937497E-2</v>
      </c>
      <c r="AD22" s="27"/>
    </row>
    <row r="23" spans="1:30" x14ac:dyDescent="0.35">
      <c r="A23" t="s">
        <v>53</v>
      </c>
      <c r="B23">
        <f>SIN(B22)/(2*B4)</f>
        <v>1.3088474153936576E-2</v>
      </c>
      <c r="S23" s="12">
        <f t="shared" si="2"/>
        <v>36.68016172818686</v>
      </c>
      <c r="T23">
        <f t="shared" si="3"/>
        <v>4.8014219424065549E-3</v>
      </c>
      <c r="U23" s="18">
        <f t="shared" si="0"/>
        <v>2.3053608379815388E-5</v>
      </c>
      <c r="V23" s="19">
        <f t="shared" si="1"/>
        <v>-4.8847429139776466E-2</v>
      </c>
      <c r="AD23" s="27"/>
    </row>
    <row r="24" spans="1:30" x14ac:dyDescent="0.35">
      <c r="A24" t="s">
        <v>19</v>
      </c>
      <c r="B24">
        <f>(B21+1)-(B21-1)*COS(B22)+2*SQRT(B21)*B23</f>
        <v>2.0286022981086047</v>
      </c>
      <c r="S24" s="12">
        <f t="shared" si="2"/>
        <v>40.000000000000014</v>
      </c>
      <c r="T24">
        <f t="shared" si="3"/>
        <v>5.2359877559829907E-3</v>
      </c>
      <c r="U24" s="18">
        <f t="shared" si="0"/>
        <v>2.7415505146414638E-5</v>
      </c>
      <c r="V24" s="19">
        <f t="shared" si="1"/>
        <v>-5.7639996962414841E-2</v>
      </c>
      <c r="AD24" s="27"/>
    </row>
    <row r="25" spans="1:30" x14ac:dyDescent="0.35">
      <c r="S25" s="12">
        <f t="shared" si="2"/>
        <v>43.620309306610324</v>
      </c>
      <c r="T25">
        <f t="shared" si="3"/>
        <v>5.7098851360400608E-3</v>
      </c>
      <c r="U25" s="18">
        <f t="shared" si="0"/>
        <v>3.2602699688383923E-5</v>
      </c>
      <c r="V25" s="19">
        <f t="shared" si="1"/>
        <v>-6.7893287233999899E-2</v>
      </c>
      <c r="AD25" s="27"/>
    </row>
    <row r="26" spans="1:30" x14ac:dyDescent="0.35">
      <c r="S26" s="12">
        <f t="shared" si="2"/>
        <v>47.568284600108861</v>
      </c>
      <c r="T26">
        <f t="shared" si="3"/>
        <v>6.2266738934821028E-3</v>
      </c>
      <c r="U26" s="18">
        <f t="shared" si="0"/>
        <v>3.8771342507040672E-5</v>
      </c>
      <c r="V26" s="19">
        <f t="shared" si="1"/>
        <v>-7.9788067164855647E-2</v>
      </c>
      <c r="AD26" s="27"/>
    </row>
    <row r="27" spans="1:30" x14ac:dyDescent="0.35">
      <c r="S27" s="12">
        <f t="shared" si="2"/>
        <v>51.873582186040409</v>
      </c>
      <c r="T27">
        <f t="shared" si="3"/>
        <v>6.7902360296271218E-3</v>
      </c>
      <c r="U27" s="18">
        <f t="shared" si="0"/>
        <v>4.6107128181351442E-5</v>
      </c>
      <c r="V27" s="19">
        <f t="shared" si="1"/>
        <v>-9.3491606791864967E-2</v>
      </c>
      <c r="AD27" s="27"/>
    </row>
    <row r="28" spans="1:30" x14ac:dyDescent="0.35">
      <c r="S28" s="12">
        <f t="shared" si="2"/>
        <v>56.568542494923825</v>
      </c>
      <c r="T28">
        <f t="shared" si="3"/>
        <v>7.4048048969306141E-3</v>
      </c>
      <c r="U28" s="18">
        <f t="shared" si="0"/>
        <v>5.4830885024279924E-5</v>
      </c>
      <c r="V28" s="19">
        <f t="shared" si="1"/>
        <v>-0.10912969326233934</v>
      </c>
      <c r="AD28" s="27"/>
    </row>
    <row r="29" spans="1:30" x14ac:dyDescent="0.35">
      <c r="S29" s="12">
        <f t="shared" si="2"/>
        <v>61.68843301631766</v>
      </c>
      <c r="T29">
        <f t="shared" si="3"/>
        <v>8.0749969989804011E-3</v>
      </c>
      <c r="U29" s="18">
        <f t="shared" si="0"/>
        <v>6.5205222220378339E-5</v>
      </c>
      <c r="V29" s="19">
        <f t="shared" si="1"/>
        <v>-0.12673887624669078</v>
      </c>
      <c r="AD29" s="27"/>
    </row>
    <row r="30" spans="1:30" x14ac:dyDescent="0.35">
      <c r="S30" s="12">
        <f t="shared" si="2"/>
        <v>67.271713220297201</v>
      </c>
      <c r="T30">
        <f t="shared" si="3"/>
        <v>8.8058466686368776E-3</v>
      </c>
      <c r="U30" s="18">
        <f t="shared" si="0"/>
        <v>7.7542434477267176E-5</v>
      </c>
      <c r="V30" s="19">
        <f t="shared" si="1"/>
        <v>-0.14618658656573302</v>
      </c>
      <c r="AD30" s="27"/>
    </row>
    <row r="31" spans="1:30" x14ac:dyDescent="0.35">
      <c r="S31" s="12">
        <f t="shared" si="2"/>
        <v>73.360323456373735</v>
      </c>
      <c r="T31">
        <f t="shared" si="3"/>
        <v>9.6028438848131132E-3</v>
      </c>
      <c r="U31" s="18">
        <f t="shared" si="0"/>
        <v>9.2213902050402276E-5</v>
      </c>
      <c r="V31" s="19">
        <f t="shared" si="1"/>
        <v>-0.16703935849514551</v>
      </c>
      <c r="AD31" s="27"/>
    </row>
    <row r="32" spans="1:30" x14ac:dyDescent="0.35">
      <c r="S32" s="12">
        <f t="shared" si="2"/>
        <v>80.000000000000043</v>
      </c>
      <c r="T32">
        <f t="shared" si="3"/>
        <v>1.0471975511965983E-2</v>
      </c>
      <c r="U32" s="18">
        <f t="shared" si="0"/>
        <v>1.0966126897573617E-4</v>
      </c>
      <c r="V32" s="19">
        <f t="shared" si="1"/>
        <v>-0.18834809045997503</v>
      </c>
      <c r="AD32" s="27"/>
    </row>
    <row r="33" spans="19:30" x14ac:dyDescent="0.35">
      <c r="S33" s="12">
        <f t="shared" si="2"/>
        <v>87.240618613220661</v>
      </c>
      <c r="T33">
        <f t="shared" si="3"/>
        <v>1.1419770272080123E-2</v>
      </c>
      <c r="U33" s="18">
        <f t="shared" si="0"/>
        <v>1.3040973581750876E-4</v>
      </c>
      <c r="V33" s="19">
        <f t="shared" si="1"/>
        <v>-0.20830329851084883</v>
      </c>
      <c r="AD33" s="27"/>
    </row>
    <row r="34" spans="19:30" x14ac:dyDescent="0.35">
      <c r="S34" s="12">
        <f t="shared" si="2"/>
        <v>95.136569200217735</v>
      </c>
      <c r="T34">
        <f t="shared" si="3"/>
        <v>1.2453347786964209E-2</v>
      </c>
      <c r="U34" s="18">
        <f t="shared" si="0"/>
        <v>1.5508386681116297E-4</v>
      </c>
      <c r="V34" s="19">
        <f t="shared" si="1"/>
        <v>-0.22369438799761809</v>
      </c>
      <c r="AD34" s="27"/>
    </row>
    <row r="35" spans="19:30" x14ac:dyDescent="0.35">
      <c r="S35" s="12">
        <f t="shared" si="2"/>
        <v>103.74716437208083</v>
      </c>
      <c r="T35">
        <f t="shared" si="3"/>
        <v>1.3580472059254244E-2</v>
      </c>
      <c r="U35" s="18">
        <f t="shared" si="0"/>
        <v>1.8442638685813666E-4</v>
      </c>
      <c r="V35" s="19">
        <f t="shared" si="1"/>
        <v>-0.2290957372951965</v>
      </c>
      <c r="AD35" s="27"/>
    </row>
    <row r="36" spans="19:30" x14ac:dyDescent="0.35">
      <c r="S36" s="12">
        <f t="shared" si="2"/>
        <v>113.13708498984766</v>
      </c>
      <c r="T36">
        <f t="shared" si="3"/>
        <v>1.4809609793861228E-2</v>
      </c>
      <c r="U36" s="18">
        <f t="shared" si="0"/>
        <v>2.1932053367116719E-4</v>
      </c>
      <c r="V36" s="19">
        <f t="shared" si="1"/>
        <v>-0.21573418986201887</v>
      </c>
      <c r="AD36" s="27"/>
    </row>
    <row r="37" spans="19:30" x14ac:dyDescent="0.35">
      <c r="S37" s="12">
        <f t="shared" si="2"/>
        <v>123.37686603263533</v>
      </c>
      <c r="T37">
        <f t="shared" si="3"/>
        <v>1.6149993997960802E-2</v>
      </c>
      <c r="U37" s="18">
        <f t="shared" si="0"/>
        <v>2.6081663716050852E-4</v>
      </c>
      <c r="V37" s="19">
        <f t="shared" si="1"/>
        <v>-0.17015801316227908</v>
      </c>
      <c r="AD37" s="27"/>
    </row>
    <row r="38" spans="19:30" x14ac:dyDescent="0.35">
      <c r="S38" s="12">
        <f t="shared" si="2"/>
        <v>134.5434264405944</v>
      </c>
      <c r="T38">
        <f t="shared" si="3"/>
        <v>1.7611693337273755E-2</v>
      </c>
      <c r="U38" s="18">
        <f t="shared" si="0"/>
        <v>3.1016372507992407E-4</v>
      </c>
      <c r="V38" s="19">
        <f t="shared" si="1"/>
        <v>-7.330187574249436E-2</v>
      </c>
      <c r="AD38" s="27"/>
    </row>
    <row r="39" spans="19:30" x14ac:dyDescent="0.35">
      <c r="S39" s="12">
        <f t="shared" si="2"/>
        <v>146.72064691274747</v>
      </c>
      <c r="T39">
        <f t="shared" si="3"/>
        <v>1.9205687769626226E-2</v>
      </c>
      <c r="U39" s="18">
        <f t="shared" si="0"/>
        <v>3.6884710479787779E-4</v>
      </c>
      <c r="V39" s="19">
        <f t="shared" si="1"/>
        <v>9.850085923948626E-2</v>
      </c>
      <c r="AD39" s="27"/>
    </row>
    <row r="40" spans="19:30" x14ac:dyDescent="0.35">
      <c r="S40" s="12">
        <f t="shared" si="2"/>
        <v>160.00000000000009</v>
      </c>
      <c r="T40">
        <f t="shared" si="3"/>
        <v>2.0943951023931966E-2</v>
      </c>
      <c r="U40" s="18">
        <f t="shared" ref="U40:U71" si="4">4*SIN(T40/2)^2</f>
        <v>4.3863305030903126E-4</v>
      </c>
      <c r="V40" s="19">
        <f t="shared" ref="V40:V71" si="5">10*LOG10(($B$15+$B$16+$B$17)^2 + ( $B$15*$B$17*U40 - ($B$16*($B$15+$B$17) + 4*$B$15*$B$17) )*U40 )  - 10*LOG10( (1+$AA$2+$AA$3)^2 + ( 1*$AA$3*U40 - ($AA$2*(1+$AA$3) + 4*1*$AA$3) )*U40)</f>
        <v>0.36792152840646963</v>
      </c>
      <c r="AD40" s="27"/>
    </row>
    <row r="41" spans="19:30" x14ac:dyDescent="0.35">
      <c r="S41" s="12">
        <f t="shared" ref="S41:S72" si="6">S40*2^(1/8)</f>
        <v>174.48123722644132</v>
      </c>
      <c r="T41">
        <f t="shared" si="3"/>
        <v>2.2839540544160247E-2</v>
      </c>
      <c r="U41" s="18">
        <f t="shared" si="4"/>
        <v>5.21621936570839E-4</v>
      </c>
      <c r="V41" s="19">
        <f t="shared" si="5"/>
        <v>0.74457028656075153</v>
      </c>
      <c r="AD41" s="27"/>
    </row>
    <row r="42" spans="19:30" x14ac:dyDescent="0.35">
      <c r="S42" s="12">
        <f t="shared" si="6"/>
        <v>190.27313840043547</v>
      </c>
      <c r="T42">
        <f t="shared" si="3"/>
        <v>2.4906695573928418E-2</v>
      </c>
      <c r="U42" s="18">
        <f t="shared" si="4"/>
        <v>6.2031141623890697E-4</v>
      </c>
      <c r="V42" s="19">
        <f t="shared" si="5"/>
        <v>1.2103146493218802</v>
      </c>
      <c r="AD42" s="27"/>
    </row>
    <row r="43" spans="19:30" x14ac:dyDescent="0.35">
      <c r="S43" s="12">
        <f t="shared" si="6"/>
        <v>207.49432874416166</v>
      </c>
      <c r="T43">
        <f t="shared" si="3"/>
        <v>2.7160944118508487E-2</v>
      </c>
      <c r="U43" s="18">
        <f t="shared" si="4"/>
        <v>7.3767153434037692E-4</v>
      </c>
      <c r="V43" s="19">
        <f t="shared" si="5"/>
        <v>1.7144980755084305</v>
      </c>
      <c r="AD43" s="27"/>
    </row>
    <row r="44" spans="19:30" x14ac:dyDescent="0.35">
      <c r="S44" s="12">
        <f t="shared" si="6"/>
        <v>226.27416997969533</v>
      </c>
      <c r="T44">
        <f t="shared" si="3"/>
        <v>2.9619219587722456E-2</v>
      </c>
      <c r="U44" s="18">
        <f t="shared" si="4"/>
        <v>8.7723403318817894E-4</v>
      </c>
      <c r="V44" s="19">
        <f t="shared" si="5"/>
        <v>2.1899953783560235</v>
      </c>
      <c r="AD44" s="27"/>
    </row>
    <row r="45" spans="19:30" x14ac:dyDescent="0.35">
      <c r="S45" s="12">
        <f t="shared" si="6"/>
        <v>246.75373206527067</v>
      </c>
      <c r="T45">
        <f t="shared" si="3"/>
        <v>3.2299987995921604E-2</v>
      </c>
      <c r="U45" s="18">
        <f t="shared" si="4"/>
        <v>1.0431985233238144E-3</v>
      </c>
      <c r="V45" s="19">
        <f t="shared" si="5"/>
        <v>2.5821015991741376</v>
      </c>
      <c r="AD45" s="27"/>
    </row>
    <row r="46" spans="19:30" x14ac:dyDescent="0.35">
      <c r="S46" s="12">
        <f t="shared" si="6"/>
        <v>269.0868528811888</v>
      </c>
      <c r="T46">
        <f t="shared" si="3"/>
        <v>3.522338667454751E-2</v>
      </c>
      <c r="U46" s="18">
        <f t="shared" si="4"/>
        <v>1.2405586987833408E-3</v>
      </c>
      <c r="V46" s="19">
        <f t="shared" si="5"/>
        <v>2.8676240846730536</v>
      </c>
      <c r="AD46" s="27"/>
    </row>
    <row r="47" spans="19:30" x14ac:dyDescent="0.35">
      <c r="S47" s="12">
        <f t="shared" si="6"/>
        <v>293.44129382549494</v>
      </c>
      <c r="T47">
        <f t="shared" si="3"/>
        <v>3.8411375539252453E-2</v>
      </c>
      <c r="U47" s="18">
        <f t="shared" si="4"/>
        <v>1.4752523710047933E-3</v>
      </c>
      <c r="V47" s="19">
        <f t="shared" si="5"/>
        <v>3.0528552423055686</v>
      </c>
      <c r="AD47" s="27"/>
    </row>
    <row r="48" spans="19:30" x14ac:dyDescent="0.35">
      <c r="S48" s="12">
        <f t="shared" si="6"/>
        <v>320.00000000000017</v>
      </c>
      <c r="T48">
        <f t="shared" si="3"/>
        <v>4.1887902047863933E-2</v>
      </c>
      <c r="U48" s="18">
        <f t="shared" si="4"/>
        <v>1.7543398022833016E-3</v>
      </c>
      <c r="V48" s="19">
        <f t="shared" si="5"/>
        <v>3.1594217030928604</v>
      </c>
      <c r="AD48" s="27"/>
    </row>
    <row r="49" spans="19:30" x14ac:dyDescent="0.35">
      <c r="S49" s="12">
        <f t="shared" si="6"/>
        <v>348.96247445288265</v>
      </c>
      <c r="T49">
        <f t="shared" si="3"/>
        <v>4.5679081088320493E-2</v>
      </c>
      <c r="U49" s="18">
        <f t="shared" si="4"/>
        <v>2.086215656838644E-3</v>
      </c>
      <c r="V49" s="19">
        <f t="shared" si="5"/>
        <v>3.2113538141555011</v>
      </c>
      <c r="AD49" s="27"/>
    </row>
    <row r="50" spans="19:30" x14ac:dyDescent="0.35">
      <c r="S50" s="12">
        <f t="shared" si="6"/>
        <v>380.54627680087094</v>
      </c>
      <c r="T50">
        <f t="shared" si="3"/>
        <v>4.9813391147856836E-2</v>
      </c>
      <c r="U50" s="18">
        <f t="shared" si="4"/>
        <v>2.480860878702511E-3</v>
      </c>
      <c r="V50" s="19">
        <f t="shared" si="5"/>
        <v>3.2285590414867968</v>
      </c>
      <c r="AD50" s="27"/>
    </row>
    <row r="51" spans="19:30" x14ac:dyDescent="0.35">
      <c r="S51" s="12">
        <f t="shared" si="6"/>
        <v>414.98865748832333</v>
      </c>
      <c r="T51">
        <f t="shared" si="3"/>
        <v>5.4321888237016974E-2</v>
      </c>
      <c r="U51" s="18">
        <f t="shared" si="4"/>
        <v>2.9501419780689321E-3</v>
      </c>
      <c r="V51" s="19">
        <f t="shared" si="5"/>
        <v>3.2253034604508386</v>
      </c>
      <c r="AD51" s="27"/>
    </row>
    <row r="52" spans="19:30" x14ac:dyDescent="0.35">
      <c r="S52" s="12">
        <f t="shared" si="6"/>
        <v>452.54833995939066</v>
      </c>
      <c r="T52">
        <f t="shared" si="3"/>
        <v>5.9238439175444912E-2</v>
      </c>
      <c r="U52" s="18">
        <f t="shared" si="4"/>
        <v>3.5081665932037319E-3</v>
      </c>
      <c r="V52" s="19">
        <f t="shared" si="5"/>
        <v>3.2109821121263877</v>
      </c>
      <c r="AD52" s="27"/>
    </row>
    <row r="53" spans="19:30" x14ac:dyDescent="0.35">
      <c r="S53" s="12">
        <f t="shared" si="6"/>
        <v>493.50746413054134</v>
      </c>
      <c r="T53">
        <f t="shared" si="3"/>
        <v>6.4599975991843209E-2</v>
      </c>
      <c r="U53" s="18">
        <f t="shared" si="4"/>
        <v>4.1717058301361928E-3</v>
      </c>
      <c r="V53" s="19">
        <f t="shared" si="5"/>
        <v>3.1914463412839851</v>
      </c>
      <c r="AD53" s="27"/>
    </row>
    <row r="54" spans="19:30" x14ac:dyDescent="0.35">
      <c r="S54" s="12">
        <f t="shared" si="6"/>
        <v>538.17370576237761</v>
      </c>
      <c r="T54">
        <f t="shared" si="3"/>
        <v>7.0446773349095021E-2</v>
      </c>
      <c r="U54" s="18">
        <f t="shared" si="4"/>
        <v>4.9606958092482363E-3</v>
      </c>
      <c r="V54" s="19">
        <f t="shared" si="5"/>
        <v>3.1701813794039637</v>
      </c>
      <c r="AD54" s="27"/>
    </row>
    <row r="55" spans="19:30" x14ac:dyDescent="0.35">
      <c r="S55" s="12">
        <f t="shared" si="6"/>
        <v>586.88258765098988</v>
      </c>
      <c r="T55">
        <f t="shared" si="3"/>
        <v>7.6822751078504906E-2</v>
      </c>
      <c r="U55" s="18">
        <f t="shared" si="4"/>
        <v>5.8988331144610179E-3</v>
      </c>
      <c r="V55" s="19">
        <f t="shared" si="5"/>
        <v>3.1491675806990855</v>
      </c>
      <c r="AD55" s="27"/>
    </row>
    <row r="56" spans="19:30" x14ac:dyDescent="0.35">
      <c r="S56" s="12">
        <f t="shared" si="6"/>
        <v>640.00000000000034</v>
      </c>
      <c r="T56">
        <f t="shared" si="3"/>
        <v>8.3775804095727865E-2</v>
      </c>
      <c r="U56" s="18">
        <f t="shared" si="4"/>
        <v>7.0142815009913307E-3</v>
      </c>
      <c r="V56" s="19">
        <f t="shared" si="5"/>
        <v>3.1294576012929056</v>
      </c>
      <c r="AD56" s="27"/>
    </row>
    <row r="57" spans="19:30" x14ac:dyDescent="0.35">
      <c r="S57" s="12">
        <f t="shared" si="6"/>
        <v>697.92494890576529</v>
      </c>
      <c r="T57">
        <f t="shared" si="3"/>
        <v>9.1358162176640986E-2</v>
      </c>
      <c r="U57" s="18">
        <f t="shared" si="4"/>
        <v>8.3405103315877388E-3</v>
      </c>
      <c r="V57" s="19">
        <f t="shared" si="5"/>
        <v>3.1115461244740104</v>
      </c>
      <c r="AD57" s="27"/>
    </row>
    <row r="58" spans="19:30" x14ac:dyDescent="0.35">
      <c r="S58" s="12">
        <f t="shared" si="6"/>
        <v>761.09255360174188</v>
      </c>
      <c r="T58">
        <f t="shared" si="3"/>
        <v>9.9626782295713673E-2</v>
      </c>
      <c r="U58" s="18">
        <f t="shared" si="4"/>
        <v>9.9172888441105677E-3</v>
      </c>
      <c r="V58" s="19">
        <f t="shared" si="5"/>
        <v>3.095600796568192</v>
      </c>
      <c r="AD58" s="27"/>
    </row>
    <row r="59" spans="19:30" x14ac:dyDescent="0.35">
      <c r="S59" s="12">
        <f t="shared" si="6"/>
        <v>829.97731497664665</v>
      </c>
      <c r="T59">
        <f t="shared" si="3"/>
        <v>0.10864377647403395</v>
      </c>
      <c r="U59" s="18">
        <f t="shared" si="4"/>
        <v>1.1791864574584964E-2</v>
      </c>
      <c r="V59" s="19">
        <f t="shared" si="5"/>
        <v>3.0816042164001658</v>
      </c>
      <c r="AD59" s="27"/>
    </row>
    <row r="60" spans="19:30" x14ac:dyDescent="0.35">
      <c r="S60" s="12">
        <f t="shared" si="6"/>
        <v>905.09667991878132</v>
      </c>
      <c r="T60">
        <f t="shared" si="3"/>
        <v>0.11847687835088982</v>
      </c>
      <c r="U60" s="18">
        <f t="shared" si="4"/>
        <v>1.4020359139969256E-2</v>
      </c>
      <c r="V60" s="19">
        <f t="shared" si="5"/>
        <v>3.0694401622133896</v>
      </c>
      <c r="AD60" s="27"/>
    </row>
    <row r="61" spans="19:30" x14ac:dyDescent="0.35">
      <c r="S61" s="12">
        <f t="shared" si="6"/>
        <v>987.01492826108267</v>
      </c>
      <c r="T61">
        <f t="shared" si="3"/>
        <v>0.12919995198368642</v>
      </c>
      <c r="U61" s="18">
        <f t="shared" si="4"/>
        <v>1.6669420191011579E-2</v>
      </c>
      <c r="V61" s="19">
        <f t="shared" si="5"/>
        <v>3.0589452584589196</v>
      </c>
      <c r="AD61" s="27"/>
    </row>
    <row r="62" spans="19:30" x14ac:dyDescent="0.35">
      <c r="S62" s="12">
        <f t="shared" si="6"/>
        <v>1076.3474115247552</v>
      </c>
      <c r="T62">
        <f t="shared" si="3"/>
        <v>0.14089354669819004</v>
      </c>
      <c r="U62" s="18">
        <f t="shared" si="4"/>
        <v>1.9818174734081057E-2</v>
      </c>
      <c r="V62" s="19">
        <f t="shared" si="5"/>
        <v>3.049939360960515</v>
      </c>
      <c r="AD62" s="27"/>
    </row>
    <row r="63" spans="19:30" x14ac:dyDescent="0.35">
      <c r="S63" s="12">
        <f t="shared" si="6"/>
        <v>1173.7651753019798</v>
      </c>
      <c r="T63">
        <f t="shared" si="3"/>
        <v>0.15364550215700981</v>
      </c>
      <c r="U63" s="18">
        <f t="shared" si="4"/>
        <v>2.3560536225731808E-2</v>
      </c>
      <c r="V63" s="19">
        <f t="shared" si="5"/>
        <v>3.0422429007559941</v>
      </c>
      <c r="AD63" s="27"/>
    </row>
    <row r="64" spans="19:30" x14ac:dyDescent="0.35">
      <c r="S64" s="12">
        <f t="shared" si="6"/>
        <v>1280.0000000000007</v>
      </c>
      <c r="T64">
        <f t="shared" si="3"/>
        <v>0.16755160819145573</v>
      </c>
      <c r="U64" s="18">
        <f t="shared" si="4"/>
        <v>2.8007925858990177E-2</v>
      </c>
      <c r="V64" s="19">
        <f t="shared" si="5"/>
        <v>3.0356862826194018</v>
      </c>
      <c r="AD64" s="27"/>
    </row>
    <row r="65" spans="19:30" x14ac:dyDescent="0.35">
      <c r="S65" s="12">
        <f t="shared" si="6"/>
        <v>1395.8498978115306</v>
      </c>
      <c r="T65">
        <f t="shared" si="3"/>
        <v>0.18271632435328197</v>
      </c>
      <c r="U65" s="18">
        <f t="shared" si="4"/>
        <v>3.3292477213759629E-2</v>
      </c>
      <c r="V65" s="19">
        <f t="shared" si="5"/>
        <v>3.0301144871672463</v>
      </c>
      <c r="AD65" s="27"/>
    </row>
    <row r="66" spans="19:30" x14ac:dyDescent="0.35">
      <c r="S66" s="12">
        <f t="shared" si="6"/>
        <v>1522.1851072034838</v>
      </c>
      <c r="T66">
        <f t="shared" si="3"/>
        <v>0.19925356459142735</v>
      </c>
      <c r="U66" s="18">
        <f t="shared" si="4"/>
        <v>3.9570802758424749E-2</v>
      </c>
      <c r="V66" s="19">
        <f t="shared" si="5"/>
        <v>3.0253888219746585</v>
      </c>
      <c r="AD66" s="27"/>
    </row>
    <row r="67" spans="19:30" x14ac:dyDescent="0.35">
      <c r="S67" s="12">
        <f t="shared" si="6"/>
        <v>1659.9546299532933</v>
      </c>
      <c r="T67">
        <f t="shared" si="3"/>
        <v>0.2172875529480679</v>
      </c>
      <c r="U67" s="18">
        <f t="shared" si="4"/>
        <v>4.7028410228194505E-2</v>
      </c>
      <c r="V67" s="19">
        <f t="shared" si="5"/>
        <v>3.0213870223415604</v>
      </c>
      <c r="AD67" s="27"/>
    </row>
    <row r="68" spans="19:30" x14ac:dyDescent="0.35">
      <c r="S68" s="12">
        <f t="shared" si="6"/>
        <v>1810.1933598375626</v>
      </c>
      <c r="T68">
        <f t="shared" si="3"/>
        <v>0.23695375670177965</v>
      </c>
      <c r="U68" s="18">
        <f t="shared" si="4"/>
        <v>5.588486608946331E-2</v>
      </c>
      <c r="V68" s="19">
        <f t="shared" si="5"/>
        <v>3.0180024402124381</v>
      </c>
      <c r="AD68" s="27"/>
    </row>
    <row r="69" spans="19:30" x14ac:dyDescent="0.35">
      <c r="S69" s="12">
        <f t="shared" si="6"/>
        <v>1974.0298565221653</v>
      </c>
      <c r="T69">
        <f t="shared" si="3"/>
        <v>0.25839990396737283</v>
      </c>
      <c r="U69" s="18">
        <f t="shared" si="4"/>
        <v>6.6399811194541802E-2</v>
      </c>
      <c r="V69" s="19">
        <f t="shared" si="5"/>
        <v>3.0151427721908099</v>
      </c>
      <c r="AD69" s="27"/>
    </row>
    <row r="70" spans="19:30" x14ac:dyDescent="0.35">
      <c r="S70" s="12">
        <f t="shared" si="6"/>
        <v>2152.6948230495104</v>
      </c>
      <c r="T70">
        <f t="shared" si="3"/>
        <v>0.28178709339638008</v>
      </c>
      <c r="U70" s="18">
        <f t="shared" si="4"/>
        <v>7.8879938886533649E-2</v>
      </c>
      <c r="V70" s="19">
        <f t="shared" si="5"/>
        <v>3.0127285982934353</v>
      </c>
      <c r="AD70" s="27"/>
    </row>
    <row r="71" spans="19:30" x14ac:dyDescent="0.35">
      <c r="S71" s="12">
        <f t="shared" si="6"/>
        <v>2347.5303506039595</v>
      </c>
      <c r="T71">
        <f t="shared" si="3"/>
        <v>0.30729100431401962</v>
      </c>
      <c r="U71" s="18">
        <f t="shared" si="4"/>
        <v>9.3687046035683216E-2</v>
      </c>
      <c r="V71" s="19">
        <f t="shared" si="5"/>
        <v>3.0106918912591887</v>
      </c>
      <c r="AD71" s="27"/>
    </row>
    <row r="72" spans="19:30" x14ac:dyDescent="0.35">
      <c r="S72" s="12">
        <f t="shared" si="6"/>
        <v>2560.0000000000014</v>
      </c>
      <c r="T72">
        <f t="shared" si="3"/>
        <v>0.33510321638291146</v>
      </c>
      <c r="U72" s="18">
        <f t="shared" ref="U72:U96" si="7">4*SIN(T72/2)^2</f>
        <v>0.11124725952503801</v>
      </c>
      <c r="V72" s="19">
        <f t="shared" ref="V72:V96" si="8">10*LOG10(($B$15+$B$16+$B$17)^2 + ( $B$15*$B$17*U72 - ($B$16*($B$15+$B$17) + 4*$B$15*$B$17) )*U72 )  - 10*LOG10( (1+$AA$2+$AA$3)^2 + ( 1*$AA$3*U72 - ($AA$2*(1+$AA$3) + 4*1*$AA$3) )*U72)</f>
        <v>3.0089745866393045</v>
      </c>
      <c r="AD72" s="27"/>
    </row>
    <row r="73" spans="19:30" x14ac:dyDescent="0.35">
      <c r="S73" s="12">
        <f t="shared" ref="S73:S96" si="9">S72*2^(1/8)</f>
        <v>2791.6997956230612</v>
      </c>
      <c r="T73">
        <f t="shared" ref="T73:T96" si="10">2*PI()*S73/$B$7</f>
        <v>0.36543264870656395</v>
      </c>
      <c r="U73" s="18">
        <f t="shared" si="7"/>
        <v>0.1320615198160098</v>
      </c>
      <c r="V73" s="19">
        <f t="shared" si="8"/>
        <v>3.007527260862652</v>
      </c>
      <c r="AD73" s="27"/>
    </row>
    <row r="74" spans="19:30" x14ac:dyDescent="0.35">
      <c r="S74" s="12">
        <f t="shared" si="9"/>
        <v>3044.3702144069675</v>
      </c>
      <c r="T74">
        <f t="shared" si="10"/>
        <v>0.39850712918285469</v>
      </c>
      <c r="U74" s="18">
        <f t="shared" si="7"/>
        <v>0.15671736260275285</v>
      </c>
      <c r="V74" s="19">
        <f t="shared" si="8"/>
        <v>3.0063079381771871</v>
      </c>
      <c r="AD74" s="27"/>
    </row>
    <row r="75" spans="19:30" x14ac:dyDescent="0.35">
      <c r="S75" s="12">
        <f t="shared" si="9"/>
        <v>3319.9092599065866</v>
      </c>
      <c r="T75">
        <f t="shared" si="10"/>
        <v>0.43457510589613579</v>
      </c>
      <c r="U75" s="18">
        <f t="shared" si="7"/>
        <v>0.18590196954418667</v>
      </c>
      <c r="V75" s="19">
        <f t="shared" si="8"/>
        <v>3.0052810316377219</v>
      </c>
      <c r="AD75" s="27"/>
    </row>
    <row r="76" spans="19:30" x14ac:dyDescent="0.35">
      <c r="S76" s="12">
        <f t="shared" si="9"/>
        <v>3620.3867196751253</v>
      </c>
      <c r="T76">
        <f t="shared" si="10"/>
        <v>0.4739075134035593</v>
      </c>
      <c r="U76" s="18">
        <f t="shared" si="7"/>
        <v>0.22041634610001598</v>
      </c>
      <c r="V76" s="19">
        <f t="shared" si="8"/>
        <v>3.0044164142316472</v>
      </c>
      <c r="AD76" s="27"/>
    </row>
    <row r="77" spans="19:30" x14ac:dyDescent="0.35">
      <c r="S77" s="12">
        <f t="shared" si="9"/>
        <v>3948.0597130443307</v>
      </c>
      <c r="T77">
        <f t="shared" si="10"/>
        <v>0.51679980793474567</v>
      </c>
      <c r="U77" s="18">
        <f t="shared" si="7"/>
        <v>0.26119030985149644</v>
      </c>
      <c r="V77" s="19">
        <f t="shared" si="8"/>
        <v>3.0036886113217065</v>
      </c>
      <c r="AD77" s="27"/>
    </row>
    <row r="78" spans="19:30" x14ac:dyDescent="0.35">
      <c r="S78" s="12">
        <f t="shared" si="9"/>
        <v>4305.3896460990209</v>
      </c>
      <c r="T78">
        <f t="shared" si="10"/>
        <v>0.56357418679276017</v>
      </c>
      <c r="U78" s="18">
        <f t="shared" si="7"/>
        <v>0.30929771078739127</v>
      </c>
      <c r="V78" s="19">
        <f t="shared" si="8"/>
        <v>3.0030761032551583</v>
      </c>
      <c r="AD78" s="27"/>
    </row>
    <row r="79" spans="19:30" x14ac:dyDescent="0.35">
      <c r="S79" s="12">
        <f t="shared" si="9"/>
        <v>4695.060701207919</v>
      </c>
      <c r="T79">
        <f t="shared" si="10"/>
        <v>0.61458200862803924</v>
      </c>
      <c r="U79" s="18">
        <f t="shared" si="7"/>
        <v>0.36597092154784067</v>
      </c>
      <c r="V79" s="19">
        <f t="shared" si="8"/>
        <v>3.0025607262294658</v>
      </c>
      <c r="AD79" s="27"/>
    </row>
    <row r="80" spans="19:30" x14ac:dyDescent="0.35">
      <c r="S80" s="12">
        <f t="shared" si="9"/>
        <v>5120.0000000000027</v>
      </c>
      <c r="T80">
        <f t="shared" si="10"/>
        <v>0.67020643276582292</v>
      </c>
      <c r="U80" s="18">
        <f t="shared" si="7"/>
        <v>0.43261308534832082</v>
      </c>
      <c r="V80" s="19">
        <f t="shared" si="8"/>
        <v>3.0021271596729822</v>
      </c>
      <c r="AD80" s="27"/>
    </row>
    <row r="81" spans="19:30" x14ac:dyDescent="0.35">
      <c r="S81" s="12">
        <f t="shared" si="9"/>
        <v>5583.3995912461223</v>
      </c>
      <c r="T81">
        <f t="shared" si="10"/>
        <v>0.73086529741312789</v>
      </c>
      <c r="U81" s="18">
        <f t="shared" si="7"/>
        <v>0.51080583424792492</v>
      </c>
      <c r="V81" s="19">
        <f t="shared" si="8"/>
        <v>3.0017624890859285</v>
      </c>
      <c r="AD81" s="27"/>
    </row>
    <row r="82" spans="19:30" x14ac:dyDescent="0.35">
      <c r="S82" s="12">
        <f t="shared" si="9"/>
        <v>6088.7404288139351</v>
      </c>
      <c r="T82">
        <f t="shared" si="10"/>
        <v>0.79701425836570938</v>
      </c>
      <c r="U82" s="18">
        <f t="shared" si="7"/>
        <v>0.60230911866984871</v>
      </c>
      <c r="V82" s="19">
        <f t="shared" si="8"/>
        <v>3.0014558342366966</v>
      </c>
      <c r="AD82" s="27"/>
    </row>
    <row r="83" spans="19:30" x14ac:dyDescent="0.35">
      <c r="S83" s="12">
        <f t="shared" si="9"/>
        <v>6639.8185198131732</v>
      </c>
      <c r="T83">
        <f t="shared" si="10"/>
        <v>0.86915021179227159</v>
      </c>
      <c r="U83" s="18">
        <f t="shared" si="7"/>
        <v>0.70904833589633898</v>
      </c>
      <c r="V83" s="19">
        <f t="shared" si="8"/>
        <v>3.0011980336631479</v>
      </c>
      <c r="AD83" s="27"/>
    </row>
    <row r="84" spans="19:30" x14ac:dyDescent="0.35">
      <c r="S84" s="12">
        <f t="shared" si="9"/>
        <v>7240.7734393502506</v>
      </c>
      <c r="T84">
        <f t="shared" si="10"/>
        <v>0.9478150268071186</v>
      </c>
      <c r="U84" s="18">
        <f t="shared" si="7"/>
        <v>0.83308201877198185</v>
      </c>
      <c r="V84" s="19">
        <f t="shared" si="8"/>
        <v>3.0009813774940755</v>
      </c>
      <c r="AD84" s="27"/>
    </row>
    <row r="85" spans="19:30" x14ac:dyDescent="0.35">
      <c r="S85" s="12">
        <f t="shared" si="9"/>
        <v>7896.1194260886614</v>
      </c>
      <c r="T85">
        <f t="shared" si="10"/>
        <v>1.0335996158694913</v>
      </c>
      <c r="U85" s="18">
        <f t="shared" si="7"/>
        <v>0.9765408614456651</v>
      </c>
      <c r="V85" s="19">
        <f t="shared" si="8"/>
        <v>3.000799381629542</v>
      </c>
      <c r="AD85" s="27"/>
    </row>
    <row r="86" spans="19:30" x14ac:dyDescent="0.35">
      <c r="S86" s="12">
        <f t="shared" si="9"/>
        <v>8610.7792921980417</v>
      </c>
      <c r="T86">
        <f t="shared" si="10"/>
        <v>1.1271483735855203</v>
      </c>
      <c r="U86" s="18">
        <f t="shared" si="7"/>
        <v>1.1415257692512444</v>
      </c>
      <c r="V86" s="19">
        <f t="shared" si="8"/>
        <v>3.0006465972745233</v>
      </c>
      <c r="AD86" s="27"/>
    </row>
    <row r="87" spans="19:30" x14ac:dyDescent="0.35">
      <c r="S87" s="12">
        <f t="shared" si="9"/>
        <v>9390.121402415838</v>
      </c>
      <c r="T87">
        <f t="shared" si="10"/>
        <v>1.2291640172560785</v>
      </c>
      <c r="U87" s="18">
        <f t="shared" si="7"/>
        <v>1.3299489707727872</v>
      </c>
      <c r="V87" s="19">
        <f t="shared" si="8"/>
        <v>3.0005184507009792</v>
      </c>
      <c r="AD87" s="27"/>
    </row>
    <row r="88" spans="19:30" x14ac:dyDescent="0.35">
      <c r="S88" s="12">
        <f t="shared" si="9"/>
        <v>10240.000000000005</v>
      </c>
      <c r="T88">
        <f t="shared" si="10"/>
        <v>1.3404128655316458</v>
      </c>
      <c r="U88" s="18">
        <f t="shared" si="7"/>
        <v>1.54329825977869</v>
      </c>
      <c r="V88" s="19">
        <f t="shared" si="8"/>
        <v>3.0004111089251335</v>
      </c>
      <c r="AD88" s="27"/>
    </row>
    <row r="89" spans="19:30" x14ac:dyDescent="0.35">
      <c r="S89" s="12">
        <f t="shared" si="9"/>
        <v>11166.799182492245</v>
      </c>
      <c r="T89">
        <f t="shared" si="10"/>
        <v>1.4617305948262558</v>
      </c>
      <c r="U89" s="18">
        <f t="shared" si="7"/>
        <v>1.7823007366899815</v>
      </c>
      <c r="V89" s="19">
        <f t="shared" si="8"/>
        <v>3.000321367748481</v>
      </c>
      <c r="AD89" s="27"/>
    </row>
    <row r="90" spans="19:30" x14ac:dyDescent="0.35">
      <c r="S90" s="12">
        <f t="shared" si="9"/>
        <v>12177.48085762787</v>
      </c>
      <c r="T90">
        <f t="shared" si="10"/>
        <v>1.5940285167314188</v>
      </c>
      <c r="U90" s="18">
        <f t="shared" si="7"/>
        <v>2.0464602002465448</v>
      </c>
      <c r="V90" s="19">
        <f t="shared" si="8"/>
        <v>3.0002465593570271</v>
      </c>
      <c r="AD90" s="27"/>
    </row>
    <row r="91" spans="19:30" x14ac:dyDescent="0.35">
      <c r="S91" s="12">
        <f t="shared" si="9"/>
        <v>13279.637039626346</v>
      </c>
      <c r="T91">
        <f t="shared" si="10"/>
        <v>1.7383004235845432</v>
      </c>
      <c r="U91" s="18">
        <f t="shared" si="7"/>
        <v>2.3334438009479883</v>
      </c>
      <c r="V91" s="19">
        <f t="shared" si="8"/>
        <v>3.0001844774628976</v>
      </c>
      <c r="AD91" s="27"/>
    </row>
    <row r="92" spans="19:30" x14ac:dyDescent="0.35">
      <c r="S92" s="12">
        <f t="shared" si="9"/>
        <v>14481.546878700501</v>
      </c>
      <c r="T92">
        <f t="shared" si="10"/>
        <v>1.8956300536142372</v>
      </c>
      <c r="U92" s="18">
        <f t="shared" si="7"/>
        <v>2.6383024250867271</v>
      </c>
      <c r="V92" s="19">
        <f t="shared" si="8"/>
        <v>3.0001333189108461</v>
      </c>
      <c r="AD92" s="27"/>
    </row>
    <row r="93" spans="19:30" x14ac:dyDescent="0.35">
      <c r="S93" s="12">
        <f t="shared" si="9"/>
        <v>15792.238852177323</v>
      </c>
      <c r="T93">
        <f t="shared" si="10"/>
        <v>2.0671992317389827</v>
      </c>
      <c r="U93" s="18">
        <f t="shared" si="7"/>
        <v>2.952531391709619</v>
      </c>
      <c r="V93" s="19">
        <f t="shared" si="8"/>
        <v>3.0000916419570594</v>
      </c>
      <c r="AD93" s="27"/>
    </row>
    <row r="94" spans="19:30" x14ac:dyDescent="0.35">
      <c r="S94" s="12">
        <f t="shared" si="9"/>
        <v>17221.558584396083</v>
      </c>
      <c r="T94">
        <f t="shared" si="10"/>
        <v>2.2542967471710407</v>
      </c>
      <c r="U94" s="18">
        <f t="shared" si="7"/>
        <v>3.2630219951403325</v>
      </c>
      <c r="V94" s="19">
        <f t="shared" si="8"/>
        <v>3.0000583434528636</v>
      </c>
      <c r="AD94" s="27"/>
    </row>
    <row r="95" spans="19:30" x14ac:dyDescent="0.35">
      <c r="S95" s="12">
        <f t="shared" si="9"/>
        <v>18780.242804831676</v>
      </c>
      <c r="T95">
        <f t="shared" si="10"/>
        <v>2.458328034512157</v>
      </c>
      <c r="U95" s="18">
        <f t="shared" si="7"/>
        <v>3.5510316182315527</v>
      </c>
      <c r="V95" s="19">
        <f t="shared" si="8"/>
        <v>3.0000326607634165</v>
      </c>
      <c r="AD95" s="27"/>
    </row>
    <row r="96" spans="19:30" x14ac:dyDescent="0.35">
      <c r="S96" s="12">
        <f t="shared" si="9"/>
        <v>20480.000000000011</v>
      </c>
      <c r="T96">
        <f t="shared" si="10"/>
        <v>2.6808257310632917</v>
      </c>
      <c r="U96" s="18">
        <f t="shared" si="7"/>
        <v>3.7914235204788267</v>
      </c>
      <c r="V96" s="19">
        <f t="shared" si="8"/>
        <v>3.0000142112913046</v>
      </c>
      <c r="AD96" s="27"/>
    </row>
    <row r="97" spans="19:30" x14ac:dyDescent="0.35">
      <c r="S97" s="12"/>
      <c r="U97" s="18"/>
      <c r="V97" s="19"/>
      <c r="AD97" s="27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7"/>
  <sheetViews>
    <sheetView workbookViewId="0">
      <selection activeCell="B15" sqref="B15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6" max="26" width="17.54296875" bestFit="1" customWidth="1"/>
    <col min="29" max="29" width="10.54296875" bestFit="1" customWidth="1"/>
    <col min="30" max="31" width="17.54296875" bestFit="1" customWidth="1"/>
    <col min="34" max="35" width="17.54296875" bestFit="1" customWidth="1"/>
  </cols>
  <sheetData>
    <row r="1" spans="1:35" x14ac:dyDescent="0.35">
      <c r="Y1" t="s">
        <v>19</v>
      </c>
      <c r="Z1" s="22">
        <v>1</v>
      </c>
      <c r="AA1" t="s">
        <v>39</v>
      </c>
      <c r="AC1" t="s">
        <v>42</v>
      </c>
      <c r="AD1" s="22">
        <f>Z2^2-4*Z1*Z3</f>
        <v>6.4262503590250208E-2</v>
      </c>
      <c r="AE1" s="22">
        <f>B16^2-4*B15*B17</f>
        <v>1.2293618210144099</v>
      </c>
      <c r="AG1" t="s">
        <v>48</v>
      </c>
      <c r="AH1" s="22">
        <f>IF(AD1&lt;0,AD5,AD2)</f>
        <v>0.73963249991124258</v>
      </c>
      <c r="AI1" s="22">
        <f>IF(AD1&lt;0,AD5,AD2)</f>
        <v>0.73963249991124258</v>
      </c>
    </row>
    <row r="2" spans="1:35" x14ac:dyDescent="0.35">
      <c r="A2" s="1"/>
      <c r="B2" s="6"/>
      <c r="Y2" t="s">
        <v>20</v>
      </c>
      <c r="Z2" s="22">
        <f>ROUND(-B12,14)</f>
        <v>-1.7327655</v>
      </c>
      <c r="AA2" t="s">
        <v>40</v>
      </c>
      <c r="AC2" t="s">
        <v>43</v>
      </c>
      <c r="AD2" s="22">
        <f>(-Z2-SQRT(AD1))/2*Z1</f>
        <v>0.73963249991124258</v>
      </c>
      <c r="AE2" s="22">
        <f>(-B16-SQRT(AE1))/2*B15</f>
        <v>-0.17660690000261553</v>
      </c>
      <c r="AH2" s="22">
        <f>IF(AD1&lt;0,AD6,0)</f>
        <v>0</v>
      </c>
      <c r="AI2" s="22">
        <f>IF(AD1&lt;0,-AD6,0)</f>
        <v>0</v>
      </c>
    </row>
    <row r="3" spans="1:35" x14ac:dyDescent="0.35">
      <c r="B3" s="6"/>
      <c r="Y3" t="s">
        <v>21</v>
      </c>
      <c r="Z3" s="22">
        <f>ROUND(-B13,14)</f>
        <v>0.73455344359999997</v>
      </c>
      <c r="AA3" t="s">
        <v>41</v>
      </c>
      <c r="AC3" t="s">
        <v>44</v>
      </c>
      <c r="AD3" s="22">
        <f>(-Z2-SQRT(AD1))/2*Z1</f>
        <v>0.73963249991124258</v>
      </c>
      <c r="AE3" s="22">
        <f>(-B16-SQRT(AE1))/2*B15</f>
        <v>-0.17660690000261553</v>
      </c>
    </row>
    <row r="4" spans="1:35" x14ac:dyDescent="0.35">
      <c r="B4" s="6"/>
      <c r="AD4" s="22"/>
      <c r="AE4" s="22"/>
      <c r="AG4" t="s">
        <v>49</v>
      </c>
      <c r="AH4" s="22">
        <f>IF(AE1&lt;0,AE5,AE2)</f>
        <v>-0.17660690000261553</v>
      </c>
      <c r="AI4" s="22">
        <f>IF(AE1&lt;0,AE5,AE2)</f>
        <v>-0.17660690000261553</v>
      </c>
    </row>
    <row r="5" spans="1:35" x14ac:dyDescent="0.35">
      <c r="AC5" t="s">
        <v>45</v>
      </c>
      <c r="AD5" s="22">
        <f>-Z2/(2*Z1)</f>
        <v>0.86638274999999998</v>
      </c>
      <c r="AE5" s="22">
        <f>-B16/(2*B15)</f>
        <v>0.37777604999999997</v>
      </c>
      <c r="AF5" s="1"/>
      <c r="AH5" s="22">
        <f>IF(AE1&lt;0,AE6,0)</f>
        <v>0</v>
      </c>
      <c r="AI5" s="22">
        <f>IF(AE1&lt;0,-AE6,0)</f>
        <v>0</v>
      </c>
    </row>
    <row r="6" spans="1:35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 t="s">
        <v>57</v>
      </c>
      <c r="X6" s="17" t="s">
        <v>57</v>
      </c>
      <c r="Y6" s="17" t="s">
        <v>58</v>
      </c>
      <c r="AC6" t="s">
        <v>46</v>
      </c>
      <c r="AD6" s="22" t="e">
        <f>SQRT(-AD1)/(2*Z1)</f>
        <v>#NUM!</v>
      </c>
      <c r="AE6" s="22" t="e">
        <f>SQRT(-AE1)/(2*B15)</f>
        <v>#NUM!</v>
      </c>
    </row>
    <row r="7" spans="1:35" x14ac:dyDescent="0.35">
      <c r="B7" s="6"/>
      <c r="S7" s="7" t="s">
        <v>4</v>
      </c>
      <c r="V7" s="17" t="s">
        <v>14</v>
      </c>
      <c r="W7" s="16" t="s">
        <v>60</v>
      </c>
      <c r="X7" s="16" t="s">
        <v>61</v>
      </c>
      <c r="Y7" s="16" t="s">
        <v>59</v>
      </c>
      <c r="AC7" t="s">
        <v>47</v>
      </c>
      <c r="AD7" s="22" t="e">
        <f>SQRT(AD5^2+AD6^2)</f>
        <v>#NUM!</v>
      </c>
    </row>
    <row r="8" spans="1:35" x14ac:dyDescent="0.35">
      <c r="B8" s="6"/>
      <c r="S8" s="9">
        <v>10</v>
      </c>
      <c r="T8">
        <f>2*PI()*S8/$B$6</f>
        <v>1.308996938995747E-3</v>
      </c>
      <c r="U8" s="18">
        <f>4*SIN(T8/2)^2</f>
        <v>1.7134727416344432E-6</v>
      </c>
      <c r="V8" s="19">
        <f t="shared" ref="V8:V71" si="0">10*LOG10(($B$15+$B$16+$B$17)^2 + ( $B$15*$B$17*U8 - ($B$16*($B$15+$B$17) + 4*$B$15*$B$17) )*U8 )  - 10*LOG10( (1+$Z$2+$Z$3)^2 + ( 1*$Z$3*U8 - ($Z$2*(1+$Z$3) + 4*1*$Z$3) )*U8)</f>
        <v>32.842858964171995</v>
      </c>
      <c r="W8">
        <f>ATAN2( ( $Z$1+$Z$2*$B$16+$Z$3*$B$17+ ($Z$1*$B$16+$Z$2*(1+$B$17)+$Z$3*$B$16)*COS(T8)+ ($Z$1*$B$17+$Z$3)*COS(2*T8) ) / ( 1+$B$16*$B$16+$B$17*$B$17+ 2* ( ($B$16+$B$16*$B$17)*COS(T8)+ $B$17*COS(2*T8) ) ),( ($Z$2-$Z$1*$B$16+$Z$3*$B$16-$Z$2*$B$17+ 2*(-$Z$1*$B$17+$Z$3)*COS(T8) )*SIN(T8) / ( 1+$B$16*$B$16+$B$17*$B$17+ 2*($B$16 + $B$16*$B$17)*COS(T8)+ 2*$B$17*COS(2*T8) ) ))+(PI()/2)</f>
        <v>1.3977897927235059</v>
      </c>
      <c r="X8">
        <f>DEGREES(W8)</f>
        <v>80.087455769523032</v>
      </c>
      <c r="Y8" s="27"/>
      <c r="AD8" s="22"/>
    </row>
    <row r="9" spans="1:35" x14ac:dyDescent="0.35">
      <c r="A9" s="33" t="s">
        <v>54</v>
      </c>
      <c r="B9" s="33"/>
      <c r="C9" s="33"/>
      <c r="D9" s="1"/>
      <c r="S9" s="12">
        <f>S8*2^(1/8)</f>
        <v>10.905077326652577</v>
      </c>
      <c r="T9">
        <f>2*PI()*S9/$B$6</f>
        <v>1.427471284010015E-3</v>
      </c>
      <c r="U9" s="18">
        <f>4*SIN(T9/2)^2</f>
        <v>2.0376739206635231E-6</v>
      </c>
      <c r="V9" s="19">
        <f t="shared" si="0"/>
        <v>32.814601957758953</v>
      </c>
      <c r="W9">
        <f t="shared" ref="W9:W72" si="1">ATAN2( ( $Z$1+$Z$2*$B$16+$Z$3*$B$17+ ($Z$1*$B$16+$Z$2*(1+$B$17)+$Z$3*$B$16)*COS(T9)+ ($Z$1*$B$17+$Z$3)*COS(2*T9) ) / ( 1+$B$16*$B$16+$B$17*$B$17+ 2* ( ($B$16+$B$16*$B$17)*COS(T9)+ $B$17*COS(2*T9) ) ),( ($Z$2-$Z$1*$B$16+$Z$3*$B$16-$Z$2*$B$17+ 2*(-$Z$1*$B$17+$Z$3)*COS(T9) )*SIN(T9) / ( 1+$B$16*$B$16+$B$17*$B$17+ 2*($B$16 + $B$16*$B$17)*COS(T9)+ 2*$B$17*COS(2*T9) ) ))+(PI()/2)</f>
        <v>1.3825809769431678</v>
      </c>
      <c r="X9">
        <f t="shared" ref="X9:X72" si="2">DEGREES(W9)</f>
        <v>79.216054813917694</v>
      </c>
      <c r="Y9">
        <f>(-((W10-W8)/(S10-S8))/360)*1000</f>
        <v>4.6488871602610816E-2</v>
      </c>
      <c r="AD9" s="22">
        <f>IF(AD1&lt;0,AD7,AD2)</f>
        <v>0.73963249991124258</v>
      </c>
    </row>
    <row r="10" spans="1:35" x14ac:dyDescent="0.35">
      <c r="A10" s="33" t="s">
        <v>55</v>
      </c>
      <c r="B10" s="33"/>
      <c r="C10" s="33"/>
      <c r="S10" s="12">
        <f t="shared" ref="S10:S73" si="3">S9*2^(1/8)</f>
        <v>11.892071150027212</v>
      </c>
      <c r="T10">
        <f t="shared" ref="T10:T73" si="4">2*PI()*S10/$B$6</f>
        <v>1.5566684733705255E-3</v>
      </c>
      <c r="U10" s="18">
        <f t="shared" ref="U10:U73" si="5">4*SIN(T10/2)^2</f>
        <v>2.4232162466541498E-6</v>
      </c>
      <c r="V10" s="19">
        <f t="shared" si="0"/>
        <v>32.781240621637487</v>
      </c>
      <c r="W10">
        <f t="shared" si="1"/>
        <v>1.366124101731123</v>
      </c>
      <c r="X10">
        <f t="shared" si="2"/>
        <v>78.273145320294063</v>
      </c>
      <c r="Y10">
        <f t="shared" ref="Y10:Y73" si="6">(-((W11-W9)/(S11-S9))/360)*1000</f>
        <v>4.6095146931006532E-2</v>
      </c>
    </row>
    <row r="11" spans="1:35" x14ac:dyDescent="0.35">
      <c r="A11" t="s">
        <v>19</v>
      </c>
      <c r="B11" s="23">
        <v>1</v>
      </c>
      <c r="S11" s="12">
        <f t="shared" si="3"/>
        <v>12.968395546510099</v>
      </c>
      <c r="T11">
        <f t="shared" si="4"/>
        <v>1.6975590074067798E-3</v>
      </c>
      <c r="U11" s="18">
        <f t="shared" si="5"/>
        <v>2.8817058916085552E-6</v>
      </c>
      <c r="V11" s="19">
        <f t="shared" si="0"/>
        <v>32.741904143259625</v>
      </c>
      <c r="W11">
        <f t="shared" si="1"/>
        <v>1.3483417525996559</v>
      </c>
      <c r="X11">
        <f t="shared" si="2"/>
        <v>77.254291765232878</v>
      </c>
      <c r="Y11">
        <f t="shared" si="6"/>
        <v>4.5634918913336063E-2</v>
      </c>
    </row>
    <row r="12" spans="1:35" x14ac:dyDescent="0.35">
      <c r="A12" t="s">
        <v>20</v>
      </c>
      <c r="B12" s="20">
        <v>1.7327655</v>
      </c>
      <c r="S12" s="12">
        <f t="shared" si="3"/>
        <v>14.142135623730953</v>
      </c>
      <c r="T12">
        <f t="shared" si="4"/>
        <v>1.8512012242326529E-3</v>
      </c>
      <c r="U12" s="18">
        <f t="shared" si="5"/>
        <v>3.4269449939373591E-6</v>
      </c>
      <c r="V12" s="19">
        <f t="shared" si="0"/>
        <v>32.695592882837047</v>
      </c>
      <c r="W12">
        <f t="shared" si="1"/>
        <v>1.3291587582005135</v>
      </c>
      <c r="X12">
        <f t="shared" si="2"/>
        <v>76.155187147738928</v>
      </c>
      <c r="Y12">
        <f t="shared" si="6"/>
        <v>4.5098598676423025E-2</v>
      </c>
    </row>
    <row r="13" spans="1:35" ht="15" customHeight="1" x14ac:dyDescent="0.35">
      <c r="A13" t="s">
        <v>21</v>
      </c>
      <c r="B13" s="20">
        <v>-0.73455344359999997</v>
      </c>
      <c r="C13" s="25"/>
      <c r="S13" s="12">
        <f t="shared" si="3"/>
        <v>15.422108254079411</v>
      </c>
      <c r="T13">
        <f t="shared" si="4"/>
        <v>2.0187492497450994E-3</v>
      </c>
      <c r="U13" s="18">
        <f t="shared" si="5"/>
        <v>4.0753471493077851E-6</v>
      </c>
      <c r="V13" s="19">
        <f t="shared" si="0"/>
        <v>32.641166776929524</v>
      </c>
      <c r="W13">
        <f t="shared" si="1"/>
        <v>1.3085045109199291</v>
      </c>
      <c r="X13">
        <f t="shared" si="2"/>
        <v>74.971785949541882</v>
      </c>
      <c r="Y13">
        <f t="shared" si="6"/>
        <v>4.447582923299101E-2</v>
      </c>
    </row>
    <row r="14" spans="1:35" ht="15" customHeight="1" x14ac:dyDescent="0.35">
      <c r="B14" s="21"/>
      <c r="C14" s="25"/>
      <c r="S14" s="12">
        <f t="shared" si="3"/>
        <v>16.817928305074293</v>
      </c>
      <c r="T14">
        <f t="shared" si="4"/>
        <v>2.2014616671592185E-3</v>
      </c>
      <c r="U14" s="18">
        <f t="shared" si="5"/>
        <v>4.8464315146453117E-6</v>
      </c>
      <c r="V14" s="19">
        <f t="shared" si="0"/>
        <v>32.577335593578354</v>
      </c>
      <c r="W14">
        <f t="shared" si="1"/>
        <v>1.2863158427915207</v>
      </c>
      <c r="X14">
        <f t="shared" si="2"/>
        <v>73.700468912767633</v>
      </c>
      <c r="Y14">
        <f t="shared" si="6"/>
        <v>4.3755660535662363E-2</v>
      </c>
    </row>
    <row r="15" spans="1:35" x14ac:dyDescent="0.35">
      <c r="A15" t="s">
        <v>22</v>
      </c>
      <c r="B15" s="20">
        <v>1</v>
      </c>
      <c r="S15" s="12">
        <f t="shared" si="3"/>
        <v>18.340080864093427</v>
      </c>
      <c r="T15">
        <f t="shared" si="4"/>
        <v>2.4007109712032774E-3</v>
      </c>
      <c r="U15" s="18">
        <f t="shared" si="5"/>
        <v>5.7634103991787035E-6</v>
      </c>
      <c r="V15" s="19">
        <f t="shared" si="0"/>
        <v>32.502652377910451</v>
      </c>
      <c r="W15">
        <f t="shared" si="1"/>
        <v>1.2625404960885209</v>
      </c>
      <c r="X15">
        <f t="shared" si="2"/>
        <v>72.338241890225476</v>
      </c>
      <c r="Y15">
        <f t="shared" si="6"/>
        <v>4.2926829741691208E-2</v>
      </c>
    </row>
    <row r="16" spans="1:35" x14ac:dyDescent="0.35">
      <c r="A16" t="s">
        <v>23</v>
      </c>
      <c r="B16" s="20">
        <v>-0.75555209999999995</v>
      </c>
      <c r="S16" s="12">
        <f t="shared" si="3"/>
        <v>20.000000000000004</v>
      </c>
      <c r="T16">
        <f t="shared" si="4"/>
        <v>2.6179938779914949E-3</v>
      </c>
      <c r="U16" s="18">
        <f t="shared" si="5"/>
        <v>6.8538880305489414E-6</v>
      </c>
      <c r="V16" s="19">
        <f t="shared" si="0"/>
        <v>32.41551175452561</v>
      </c>
      <c r="W16">
        <f t="shared" si="1"/>
        <v>1.2371411928369056</v>
      </c>
      <c r="X16">
        <f t="shared" si="2"/>
        <v>70.882969011335007</v>
      </c>
      <c r="Y16">
        <f t="shared" si="6"/>
        <v>4.1978168113295557E-2</v>
      </c>
    </row>
    <row r="17" spans="1:25" x14ac:dyDescent="0.35">
      <c r="A17" t="s">
        <v>24</v>
      </c>
      <c r="B17" s="20">
        <v>-0.1646257113</v>
      </c>
      <c r="S17" s="12">
        <f t="shared" si="3"/>
        <v>21.810154653305158</v>
      </c>
      <c r="T17">
        <f t="shared" si="4"/>
        <v>2.8549425680200304E-3</v>
      </c>
      <c r="U17" s="18">
        <f t="shared" si="5"/>
        <v>8.1506915305390883E-6</v>
      </c>
      <c r="V17" s="19">
        <f t="shared" si="0"/>
        <v>32.314155043670368</v>
      </c>
      <c r="W17">
        <f t="shared" si="1"/>
        <v>1.2101002533684555</v>
      </c>
      <c r="X17">
        <f t="shared" si="2"/>
        <v>69.333637305724082</v>
      </c>
      <c r="Y17">
        <f t="shared" si="6"/>
        <v>4.0899150786913245E-2</v>
      </c>
    </row>
    <row r="18" spans="1:25" x14ac:dyDescent="0.35">
      <c r="S18" s="12">
        <f t="shared" si="3"/>
        <v>23.784142300054427</v>
      </c>
      <c r="T18">
        <f t="shared" si="4"/>
        <v>3.1133369467410514E-3</v>
      </c>
      <c r="U18" s="18">
        <f t="shared" si="5"/>
        <v>9.6928591146396239E-6</v>
      </c>
      <c r="V18" s="19">
        <f t="shared" si="0"/>
        <v>32.196684330775653</v>
      </c>
      <c r="W18">
        <f t="shared" si="1"/>
        <v>1.1814246384864431</v>
      </c>
      <c r="X18">
        <f t="shared" si="2"/>
        <v>67.690645598042238</v>
      </c>
      <c r="Y18">
        <f t="shared" si="6"/>
        <v>3.9680594459684797E-2</v>
      </c>
    </row>
    <row r="19" spans="1:25" x14ac:dyDescent="0.35">
      <c r="A19" t="s">
        <v>34</v>
      </c>
      <c r="B19" s="24" t="str">
        <f>IF(ABS(AD9)&lt;1,"Stable","Not stable")</f>
        <v>Stable</v>
      </c>
      <c r="S19" s="12">
        <f t="shared" si="3"/>
        <v>25.936791093020201</v>
      </c>
      <c r="T19">
        <f t="shared" si="4"/>
        <v>3.39511801481356E-3</v>
      </c>
      <c r="U19" s="18">
        <f t="shared" si="5"/>
        <v>1.1526815262205378E-5</v>
      </c>
      <c r="V19" s="19">
        <f t="shared" si="0"/>
        <v>32.061087607916747</v>
      </c>
      <c r="W19">
        <f t="shared" si="1"/>
        <v>1.1511511940315751</v>
      </c>
      <c r="X19">
        <f t="shared" si="2"/>
        <v>65.956104999454567</v>
      </c>
      <c r="Y19">
        <f t="shared" si="6"/>
        <v>3.8315489623449897E-2</v>
      </c>
    </row>
    <row r="20" spans="1:25" x14ac:dyDescent="0.35">
      <c r="S20" s="12">
        <f t="shared" si="3"/>
        <v>28.284271247461909</v>
      </c>
      <c r="T20">
        <f t="shared" si="4"/>
        <v>3.7024024484653062E-3</v>
      </c>
      <c r="U20" s="18">
        <f t="shared" si="5"/>
        <v>1.3707768231797451E-5</v>
      </c>
      <c r="V20" s="19">
        <f t="shared" si="0"/>
        <v>31.90527677072766</v>
      </c>
      <c r="W20">
        <f t="shared" si="1"/>
        <v>1.119351766650555</v>
      </c>
      <c r="X20">
        <f t="shared" si="2"/>
        <v>64.134132019589373</v>
      </c>
      <c r="Y20">
        <f t="shared" si="6"/>
        <v>3.6799928155008182E-2</v>
      </c>
    </row>
    <row r="21" spans="1:25" x14ac:dyDescent="0.35">
      <c r="A21" s="1"/>
      <c r="S21" s="12">
        <f t="shared" si="3"/>
        <v>30.844216508158826</v>
      </c>
      <c r="T21">
        <f t="shared" si="4"/>
        <v>4.0374984994901997E-3</v>
      </c>
      <c r="U21" s="18">
        <f t="shared" si="5"/>
        <v>1.6301371988776759E-5</v>
      </c>
      <c r="V21" s="19">
        <f t="shared" si="0"/>
        <v>31.727139501751342</v>
      </c>
      <c r="W21">
        <f t="shared" si="1"/>
        <v>1.0861377490584365</v>
      </c>
      <c r="X21">
        <f t="shared" si="2"/>
        <v>62.231108990887719</v>
      </c>
      <c r="Y21">
        <f t="shared" si="6"/>
        <v>3.5134055453525027E-2</v>
      </c>
    </row>
    <row r="22" spans="1:25" x14ac:dyDescent="0.35">
      <c r="S22" s="12">
        <f t="shared" si="3"/>
        <v>33.635856610148593</v>
      </c>
      <c r="T22">
        <f t="shared" si="4"/>
        <v>4.4029233343184379E-3</v>
      </c>
      <c r="U22" s="18">
        <f t="shared" si="5"/>
        <v>1.9385702570682833E-5</v>
      </c>
      <c r="V22" s="19">
        <f t="shared" si="0"/>
        <v>31.524604840630985</v>
      </c>
      <c r="W22">
        <f t="shared" si="1"/>
        <v>1.0516635237676686</v>
      </c>
      <c r="X22">
        <f t="shared" si="2"/>
        <v>60.255881379743549</v>
      </c>
      <c r="Y22">
        <f t="shared" si="6"/>
        <v>3.3322943874466139E-2</v>
      </c>
    </row>
    <row r="23" spans="1:25" x14ac:dyDescent="0.35">
      <c r="S23" s="12">
        <f t="shared" si="3"/>
        <v>36.68016172818686</v>
      </c>
      <c r="T23">
        <f t="shared" si="4"/>
        <v>4.8014219424065549E-3</v>
      </c>
      <c r="U23" s="18">
        <f t="shared" si="5"/>
        <v>2.3053608379815388E-5</v>
      </c>
      <c r="V23" s="19">
        <f t="shared" si="0"/>
        <v>31.295720561719623</v>
      </c>
      <c r="W23">
        <f t="shared" si="1"/>
        <v>1.0161282340507134</v>
      </c>
      <c r="X23">
        <f t="shared" si="2"/>
        <v>58.219859255187387</v>
      </c>
      <c r="Y23">
        <f t="shared" si="6"/>
        <v>3.1377258636806758E-2</v>
      </c>
    </row>
    <row r="24" spans="1:25" x14ac:dyDescent="0.35">
      <c r="S24" s="12">
        <f t="shared" si="3"/>
        <v>40.000000000000014</v>
      </c>
      <c r="T24">
        <f t="shared" si="4"/>
        <v>5.2359877559829907E-3</v>
      </c>
      <c r="U24" s="18">
        <f t="shared" si="5"/>
        <v>2.7415505146414638E-5</v>
      </c>
      <c r="V24" s="19">
        <f t="shared" si="0"/>
        <v>31.038738511725068</v>
      </c>
      <c r="W24">
        <f t="shared" si="1"/>
        <v>0.97977534943543543</v>
      </c>
      <c r="X24">
        <f t="shared" si="2"/>
        <v>56.136992393605894</v>
      </c>
      <c r="Y24">
        <f t="shared" si="6"/>
        <v>2.9313578705692907E-2</v>
      </c>
    </row>
    <row r="25" spans="1:25" x14ac:dyDescent="0.35">
      <c r="S25" s="12">
        <f t="shared" si="3"/>
        <v>43.620309306610324</v>
      </c>
      <c r="T25">
        <f t="shared" si="4"/>
        <v>5.7098851360400608E-3</v>
      </c>
      <c r="U25" s="18">
        <f t="shared" si="5"/>
        <v>3.2602699688383923E-5</v>
      </c>
      <c r="V25" s="19">
        <f t="shared" si="0"/>
        <v>30.752202115195061</v>
      </c>
      <c r="W25">
        <f t="shared" si="1"/>
        <v>0.94288963163378692</v>
      </c>
      <c r="X25">
        <f t="shared" si="2"/>
        <v>54.023596439260864</v>
      </c>
      <c r="Y25">
        <f t="shared" si="6"/>
        <v>2.7154252664615467E-2</v>
      </c>
    </row>
    <row r="26" spans="1:25" x14ac:dyDescent="0.35">
      <c r="S26" s="12">
        <f t="shared" si="3"/>
        <v>47.568284600108861</v>
      </c>
      <c r="T26">
        <f t="shared" si="4"/>
        <v>6.2266738934821028E-3</v>
      </c>
      <c r="U26" s="18">
        <f t="shared" si="5"/>
        <v>3.8771342507040672E-5</v>
      </c>
      <c r="V26" s="19">
        <f t="shared" si="0"/>
        <v>30.435028763499542</v>
      </c>
      <c r="W26">
        <f t="shared" si="1"/>
        <v>0.90579134901856884</v>
      </c>
      <c r="X26">
        <f t="shared" si="2"/>
        <v>51.898021418225319</v>
      </c>
      <c r="Y26">
        <f t="shared" si="6"/>
        <v>2.4926718155338579E-2</v>
      </c>
    </row>
    <row r="27" spans="1:25" x14ac:dyDescent="0.35">
      <c r="S27" s="12">
        <f t="shared" si="3"/>
        <v>51.873582186040409</v>
      </c>
      <c r="T27">
        <f t="shared" si="4"/>
        <v>6.7902360296271218E-3</v>
      </c>
      <c r="U27" s="18">
        <f t="shared" si="5"/>
        <v>4.6107128181351442E-5</v>
      </c>
      <c r="V27" s="19">
        <f t="shared" si="0"/>
        <v>30.086579216729518</v>
      </c>
      <c r="W27">
        <f t="shared" si="1"/>
        <v>0.86882790914091168</v>
      </c>
      <c r="X27">
        <f t="shared" si="2"/>
        <v>49.780172316950001</v>
      </c>
      <c r="Y27">
        <f t="shared" si="6"/>
        <v>2.2662289382057794E-2</v>
      </c>
    </row>
    <row r="28" spans="1:25" x14ac:dyDescent="0.35">
      <c r="S28" s="12">
        <f t="shared" si="3"/>
        <v>56.568542494923825</v>
      </c>
      <c r="T28">
        <f t="shared" si="4"/>
        <v>7.4048048969306141E-3</v>
      </c>
      <c r="U28" s="18">
        <f t="shared" si="5"/>
        <v>5.4830885024279924E-5</v>
      </c>
      <c r="V28" s="19">
        <f t="shared" si="0"/>
        <v>29.706706801754589</v>
      </c>
      <c r="W28">
        <f t="shared" si="1"/>
        <v>0.83236342740540792</v>
      </c>
      <c r="X28">
        <f t="shared" si="2"/>
        <v>47.690911411373754</v>
      </c>
      <c r="Y28">
        <f t="shared" si="6"/>
        <v>2.0394506837655074E-2</v>
      </c>
    </row>
    <row r="29" spans="1:25" x14ac:dyDescent="0.35">
      <c r="S29" s="12">
        <f t="shared" si="3"/>
        <v>61.68843301631766</v>
      </c>
      <c r="T29">
        <f t="shared" si="4"/>
        <v>8.0749969989804011E-3</v>
      </c>
      <c r="U29" s="18">
        <f t="shared" si="5"/>
        <v>6.5205222220378339E-5</v>
      </c>
      <c r="V29" s="19">
        <f t="shared" si="0"/>
        <v>29.2957811549851</v>
      </c>
      <c r="W29">
        <f t="shared" si="1"/>
        <v>0.79676705388819624</v>
      </c>
      <c r="X29">
        <f t="shared" si="2"/>
        <v>45.651389442866275</v>
      </c>
      <c r="Y29">
        <f t="shared" si="6"/>
        <v>1.8157225530842584E-2</v>
      </c>
    </row>
    <row r="30" spans="1:25" x14ac:dyDescent="0.35">
      <c r="S30" s="12">
        <f t="shared" si="3"/>
        <v>67.271713220297201</v>
      </c>
      <c r="T30">
        <f t="shared" si="4"/>
        <v>8.8058466686368776E-3</v>
      </c>
      <c r="U30" s="18">
        <f t="shared" si="5"/>
        <v>7.7542434477267176E-5</v>
      </c>
      <c r="V30" s="19">
        <f t="shared" si="0"/>
        <v>28.85468426578964</v>
      </c>
      <c r="W30">
        <f t="shared" si="1"/>
        <v>0.76240106889335002</v>
      </c>
      <c r="X30">
        <f t="shared" si="2"/>
        <v>43.682363543851672</v>
      </c>
      <c r="Y30">
        <f t="shared" si="6"/>
        <v>1.5982670086072952E-2</v>
      </c>
    </row>
    <row r="31" spans="1:25" x14ac:dyDescent="0.35">
      <c r="S31" s="12">
        <f t="shared" si="3"/>
        <v>73.360323456373735</v>
      </c>
      <c r="T31">
        <f t="shared" si="4"/>
        <v>9.6028438848131132E-3</v>
      </c>
      <c r="U31" s="18">
        <f t="shared" si="5"/>
        <v>9.2213902050402276E-5</v>
      </c>
      <c r="V31" s="19">
        <f t="shared" si="0"/>
        <v>28.384780054624848</v>
      </c>
      <c r="W31">
        <f t="shared" si="1"/>
        <v>0.72960978318188241</v>
      </c>
      <c r="X31">
        <f t="shared" si="2"/>
        <v>41.803561267776935</v>
      </c>
      <c r="Y31">
        <f t="shared" si="6"/>
        <v>1.3899691908783892E-2</v>
      </c>
    </row>
    <row r="32" spans="1:25" x14ac:dyDescent="0.35">
      <c r="S32" s="12">
        <f t="shared" si="3"/>
        <v>80.000000000000043</v>
      </c>
      <c r="T32">
        <f t="shared" si="4"/>
        <v>1.0471975511965983E-2</v>
      </c>
      <c r="U32" s="18">
        <f t="shared" si="5"/>
        <v>1.0966126897573617E-4</v>
      </c>
      <c r="V32" s="19">
        <f t="shared" si="0"/>
        <v>27.887861952430594</v>
      </c>
      <c r="W32">
        <f t="shared" si="1"/>
        <v>0.69871013357812406</v>
      </c>
      <c r="X32">
        <f t="shared" si="2"/>
        <v>40.03314175704849</v>
      </c>
      <c r="Y32">
        <f t="shared" si="6"/>
        <v>1.1932423043544605E-2</v>
      </c>
    </row>
    <row r="33" spans="19:25" x14ac:dyDescent="0.35">
      <c r="S33" s="12">
        <f t="shared" si="3"/>
        <v>87.240618613220661</v>
      </c>
      <c r="T33">
        <f t="shared" si="4"/>
        <v>1.1419770272080123E-2</v>
      </c>
      <c r="U33" s="18">
        <f t="shared" si="5"/>
        <v>1.3040973581750876E-4</v>
      </c>
      <c r="V33" s="19">
        <f t="shared" si="0"/>
        <v>27.366085290634416</v>
      </c>
      <c r="W33">
        <f t="shared" si="1"/>
        <v>0.6699845838208085</v>
      </c>
      <c r="X33">
        <f t="shared" si="2"/>
        <v>38.387288991761267</v>
      </c>
      <c r="Y33">
        <f t="shared" si="6"/>
        <v>1.0099445459118747E-2</v>
      </c>
    </row>
    <row r="34" spans="19:25" x14ac:dyDescent="0.35">
      <c r="S34" s="12">
        <f t="shared" si="3"/>
        <v>95.136569200217735</v>
      </c>
      <c r="T34">
        <f t="shared" si="4"/>
        <v>1.2453347786964209E-2</v>
      </c>
      <c r="U34" s="18">
        <f t="shared" si="5"/>
        <v>1.5508386681116297E-4</v>
      </c>
      <c r="V34" s="19">
        <f t="shared" si="0"/>
        <v>26.821892378807835</v>
      </c>
      <c r="W34">
        <f t="shared" si="1"/>
        <v>0.64367658975084496</v>
      </c>
      <c r="X34">
        <f t="shared" si="2"/>
        <v>36.87995196409716</v>
      </c>
      <c r="Y34">
        <f t="shared" si="6"/>
        <v>8.413504489266966E-3</v>
      </c>
    </row>
    <row r="35" spans="19:25" x14ac:dyDescent="0.35">
      <c r="S35" s="12">
        <f t="shared" si="3"/>
        <v>103.74716437208083</v>
      </c>
      <c r="T35">
        <f t="shared" si="4"/>
        <v>1.3580472059254244E-2</v>
      </c>
      <c r="U35" s="18">
        <f t="shared" si="5"/>
        <v>1.8442638685813666E-4</v>
      </c>
      <c r="V35" s="19">
        <f t="shared" si="0"/>
        <v>26.257937894852773</v>
      </c>
      <c r="W35">
        <f t="shared" si="1"/>
        <v>0.61998854095680267</v>
      </c>
      <c r="X35">
        <f t="shared" si="2"/>
        <v>35.522726743298577</v>
      </c>
      <c r="Y35">
        <f t="shared" si="6"/>
        <v>6.881713459952545E-3</v>
      </c>
    </row>
    <row r="36" spans="19:25" x14ac:dyDescent="0.35">
      <c r="S36" s="12">
        <f t="shared" si="3"/>
        <v>113.13708498984766</v>
      </c>
      <c r="T36">
        <f t="shared" si="4"/>
        <v>1.4809609793861228E-2</v>
      </c>
      <c r="U36" s="18">
        <f t="shared" si="5"/>
        <v>2.1932053367116719E-4</v>
      </c>
      <c r="V36" s="19">
        <f t="shared" si="0"/>
        <v>25.677020894210479</v>
      </c>
      <c r="W36">
        <f t="shared" si="1"/>
        <v>0.5990818087044345</v>
      </c>
      <c r="X36">
        <f t="shared" si="2"/>
        <v>34.324859221827843</v>
      </c>
      <c r="Y36">
        <f t="shared" si="6"/>
        <v>5.5061393257870937E-3</v>
      </c>
    </row>
    <row r="37" spans="19:25" x14ac:dyDescent="0.35">
      <c r="S37" s="12">
        <f t="shared" si="3"/>
        <v>123.37686603263533</v>
      </c>
      <c r="T37">
        <f t="shared" si="4"/>
        <v>1.6149993997960802E-2</v>
      </c>
      <c r="U37" s="18">
        <f t="shared" si="5"/>
        <v>2.6081663716050852E-4</v>
      </c>
      <c r="V37" s="19">
        <f t="shared" si="0"/>
        <v>25.082027783434665</v>
      </c>
      <c r="W37">
        <f t="shared" si="1"/>
        <v>0.58107834694080962</v>
      </c>
      <c r="X37">
        <f t="shared" si="2"/>
        <v>33.293336846146985</v>
      </c>
      <c r="Y37">
        <f t="shared" si="6"/>
        <v>4.2846328566543759E-3</v>
      </c>
    </row>
    <row r="38" spans="19:25" x14ac:dyDescent="0.35">
      <c r="S38" s="12">
        <f t="shared" si="3"/>
        <v>134.5434264405944</v>
      </c>
      <c r="T38">
        <f t="shared" si="4"/>
        <v>1.7611693337273755E-2</v>
      </c>
      <c r="U38" s="18">
        <f t="shared" si="5"/>
        <v>3.1016372507992407E-4</v>
      </c>
      <c r="V38" s="19">
        <f t="shared" si="0"/>
        <v>24.475888443618111</v>
      </c>
      <c r="W38">
        <f t="shared" si="1"/>
        <v>0.56606321569300699</v>
      </c>
      <c r="X38">
        <f t="shared" si="2"/>
        <v>32.433033196812893</v>
      </c>
      <c r="Y38">
        <f t="shared" si="6"/>
        <v>3.2117687780309689E-3</v>
      </c>
    </row>
    <row r="39" spans="19:25" x14ac:dyDescent="0.35">
      <c r="S39" s="12">
        <f t="shared" si="3"/>
        <v>146.72064691274747</v>
      </c>
      <c r="T39">
        <f t="shared" si="4"/>
        <v>1.9205687769626226E-2</v>
      </c>
      <c r="U39" s="18">
        <f t="shared" si="5"/>
        <v>3.6884710479787779E-4</v>
      </c>
      <c r="V39" s="19">
        <f t="shared" si="0"/>
        <v>23.861545682374228</v>
      </c>
      <c r="W39">
        <f t="shared" si="1"/>
        <v>0.55408740936771106</v>
      </c>
      <c r="X39">
        <f t="shared" si="2"/>
        <v>31.746870038107357</v>
      </c>
      <c r="Y39">
        <f t="shared" si="6"/>
        <v>2.2797827915431862E-3</v>
      </c>
    </row>
    <row r="40" spans="19:25" x14ac:dyDescent="0.35">
      <c r="S40" s="12">
        <f t="shared" si="3"/>
        <v>160.00000000000009</v>
      </c>
      <c r="T40">
        <f t="shared" si="4"/>
        <v>2.0943951023931966E-2</v>
      </c>
      <c r="U40" s="18">
        <f t="shared" si="5"/>
        <v>4.3863305030903126E-4</v>
      </c>
      <c r="V40" s="19">
        <f t="shared" si="0"/>
        <v>23.241936548206386</v>
      </c>
      <c r="W40">
        <f t="shared" si="1"/>
        <v>0.54517045069334791</v>
      </c>
      <c r="X40">
        <f t="shared" si="2"/>
        <v>31.235965939973781</v>
      </c>
      <c r="Y40">
        <f t="shared" si="6"/>
        <v>1.4794235254274128E-3</v>
      </c>
    </row>
    <row r="41" spans="19:25" x14ac:dyDescent="0.35">
      <c r="S41" s="12">
        <f t="shared" si="3"/>
        <v>174.48123722644132</v>
      </c>
      <c r="T41">
        <f t="shared" si="4"/>
        <v>2.2839540544160247E-2</v>
      </c>
      <c r="U41" s="18">
        <f t="shared" si="5"/>
        <v>5.21621936570839E-4</v>
      </c>
      <c r="V41" s="19">
        <f t="shared" si="0"/>
        <v>22.619982830818749</v>
      </c>
      <c r="W41">
        <f t="shared" si="1"/>
        <v>0.53930232802737188</v>
      </c>
      <c r="X41">
        <f t="shared" si="2"/>
        <v>30.899747277548297</v>
      </c>
      <c r="Y41">
        <f t="shared" si="6"/>
        <v>8.0066961419570921E-4</v>
      </c>
    </row>
    <row r="42" spans="19:25" x14ac:dyDescent="0.35">
      <c r="S42" s="12">
        <f t="shared" si="3"/>
        <v>190.27313840043547</v>
      </c>
      <c r="T42">
        <f t="shared" si="4"/>
        <v>2.4906695573928418E-2</v>
      </c>
      <c r="U42" s="18">
        <f t="shared" si="5"/>
        <v>6.2031141623890697E-4</v>
      </c>
      <c r="V42" s="19">
        <f t="shared" si="0"/>
        <v>21.99858727352909</v>
      </c>
      <c r="W42">
        <f t="shared" si="1"/>
        <v>0.53644448915766274</v>
      </c>
      <c r="X42">
        <f t="shared" si="2"/>
        <v>30.736005171785525</v>
      </c>
      <c r="Y42">
        <f t="shared" si="6"/>
        <v>2.3328976401684715E-4</v>
      </c>
    </row>
    <row r="43" spans="19:25" x14ac:dyDescent="0.35">
      <c r="S43" s="12">
        <f t="shared" si="3"/>
        <v>207.49432874416166</v>
      </c>
      <c r="T43">
        <f t="shared" si="4"/>
        <v>2.7160944118508487E-2</v>
      </c>
      <c r="U43" s="18">
        <f t="shared" si="5"/>
        <v>7.3767153434037692E-4</v>
      </c>
      <c r="V43" s="19">
        <f t="shared" si="0"/>
        <v>21.380631575970718</v>
      </c>
      <c r="W43">
        <f t="shared" si="1"/>
        <v>0.53652974614870308</v>
      </c>
      <c r="X43">
        <f t="shared" si="2"/>
        <v>30.740890037546123</v>
      </c>
      <c r="Y43">
        <f t="shared" si="6"/>
        <v>-2.3275561748468409E-4</v>
      </c>
    </row>
    <row r="44" spans="19:25" x14ac:dyDescent="0.35">
      <c r="S44" s="12">
        <f t="shared" si="3"/>
        <v>226.27416997969533</v>
      </c>
      <c r="T44">
        <f t="shared" si="4"/>
        <v>2.9619219587722456E-2</v>
      </c>
      <c r="U44" s="18">
        <f t="shared" si="5"/>
        <v>8.7723403318817894E-4</v>
      </c>
      <c r="V44" s="19">
        <f t="shared" si="0"/>
        <v>20.768972107388649</v>
      </c>
      <c r="W44">
        <f t="shared" si="1"/>
        <v>0.53946108839837659</v>
      </c>
      <c r="X44">
        <f t="shared" si="2"/>
        <v>30.908843576760798</v>
      </c>
      <c r="Y44">
        <f t="shared" si="6"/>
        <v>-6.0705895145809477E-4</v>
      </c>
    </row>
    <row r="45" spans="19:25" x14ac:dyDescent="0.35">
      <c r="S45" s="12">
        <f t="shared" si="3"/>
        <v>246.75373206527067</v>
      </c>
      <c r="T45">
        <f t="shared" si="4"/>
        <v>3.2299987995921604E-2</v>
      </c>
      <c r="U45" s="18">
        <f t="shared" si="5"/>
        <v>1.0431985233238144E-3</v>
      </c>
      <c r="V45" s="19">
        <f t="shared" si="0"/>
        <v>20.166429358001217</v>
      </c>
      <c r="W45">
        <f t="shared" si="1"/>
        <v>0.54510954414609691</v>
      </c>
      <c r="X45">
        <f t="shared" si="2"/>
        <v>31.232476251871585</v>
      </c>
      <c r="Y45">
        <f t="shared" si="6"/>
        <v>-8.9863592858261613E-4</v>
      </c>
    </row>
    <row r="46" spans="19:25" x14ac:dyDescent="0.35">
      <c r="S46" s="12">
        <f t="shared" si="3"/>
        <v>269.0868528811888</v>
      </c>
      <c r="T46">
        <f t="shared" si="4"/>
        <v>3.522338667454751E-2</v>
      </c>
      <c r="U46" s="18">
        <f t="shared" si="5"/>
        <v>1.2405586987833408E-3</v>
      </c>
      <c r="V46" s="19">
        <f t="shared" si="0"/>
        <v>19.575767548574973</v>
      </c>
      <c r="W46">
        <f t="shared" si="1"/>
        <v>0.55331137381792339</v>
      </c>
      <c r="X46">
        <f t="shared" si="2"/>
        <v>31.702406476352408</v>
      </c>
      <c r="Y46">
        <f t="shared" si="6"/>
        <v>-1.1158975924958133E-3</v>
      </c>
    </row>
    <row r="47" spans="19:25" x14ac:dyDescent="0.35">
      <c r="S47" s="12">
        <f t="shared" si="3"/>
        <v>293.44129382549494</v>
      </c>
      <c r="T47">
        <f t="shared" si="4"/>
        <v>3.8411375539252453E-2</v>
      </c>
      <c r="U47" s="18">
        <f t="shared" si="5"/>
        <v>1.4752523710047933E-3</v>
      </c>
      <c r="V47" s="19">
        <f t="shared" si="0"/>
        <v>18.999661554168487</v>
      </c>
      <c r="W47">
        <f t="shared" si="1"/>
        <v>0.5638650177424811</v>
      </c>
      <c r="X47">
        <f t="shared" si="2"/>
        <v>32.30708573171345</v>
      </c>
      <c r="Y47">
        <f t="shared" si="6"/>
        <v>-1.2666980857661482E-3</v>
      </c>
    </row>
    <row r="48" spans="19:25" x14ac:dyDescent="0.35">
      <c r="S48" s="12">
        <f t="shared" si="3"/>
        <v>320.00000000000017</v>
      </c>
      <c r="T48">
        <f t="shared" si="4"/>
        <v>4.1887902047863933E-2</v>
      </c>
      <c r="U48" s="18">
        <f t="shared" si="5"/>
        <v>1.7543398022833016E-3</v>
      </c>
      <c r="V48" s="19">
        <f t="shared" si="0"/>
        <v>18.440649444260035</v>
      </c>
      <c r="W48">
        <f t="shared" si="1"/>
        <v>0.5765283447763857</v>
      </c>
      <c r="X48">
        <f t="shared" si="2"/>
        <v>33.032640925350101</v>
      </c>
      <c r="Y48">
        <f t="shared" si="6"/>
        <v>-1.3584315360605519E-3</v>
      </c>
    </row>
    <row r="49" spans="19:25" x14ac:dyDescent="0.35">
      <c r="S49" s="12">
        <f t="shared" si="3"/>
        <v>348.96247445288265</v>
      </c>
      <c r="T49">
        <f t="shared" si="4"/>
        <v>4.5679081088320493E-2</v>
      </c>
      <c r="U49" s="18">
        <f t="shared" si="5"/>
        <v>2.086215656838644E-3</v>
      </c>
      <c r="V49" s="19">
        <f t="shared" si="0"/>
        <v>17.901070531308516</v>
      </c>
      <c r="W49">
        <f t="shared" si="1"/>
        <v>0.59101683790856185</v>
      </c>
      <c r="X49">
        <f t="shared" si="2"/>
        <v>33.862770433328073</v>
      </c>
      <c r="Y49">
        <f t="shared" si="6"/>
        <v>-1.3981517321634399E-3</v>
      </c>
    </row>
    <row r="50" spans="19:25" x14ac:dyDescent="0.35">
      <c r="S50" s="12">
        <f t="shared" si="3"/>
        <v>380.54627680087094</v>
      </c>
      <c r="T50">
        <f t="shared" si="4"/>
        <v>4.9813391147856836E-2</v>
      </c>
      <c r="U50" s="18">
        <f t="shared" si="5"/>
        <v>2.480860878702511E-3</v>
      </c>
      <c r="V50" s="19">
        <f t="shared" si="0"/>
        <v>17.382990799802872</v>
      </c>
      <c r="W50">
        <f t="shared" si="1"/>
        <v>0.60700338221905215</v>
      </c>
      <c r="X50">
        <f t="shared" si="2"/>
        <v>34.778731951318044</v>
      </c>
      <c r="Y50">
        <f t="shared" si="6"/>
        <v>-1.3926893165882679E-3</v>
      </c>
    </row>
    <row r="51" spans="19:25" x14ac:dyDescent="0.35">
      <c r="S51" s="12">
        <f t="shared" si="3"/>
        <v>414.98865748832333</v>
      </c>
      <c r="T51">
        <f t="shared" si="4"/>
        <v>5.4321888237016974E-2</v>
      </c>
      <c r="U51" s="18">
        <f t="shared" si="5"/>
        <v>2.9501419780689321E-3</v>
      </c>
      <c r="V51" s="19">
        <f t="shared" si="0"/>
        <v>16.888119773636625</v>
      </c>
      <c r="W51">
        <f t="shared" si="1"/>
        <v>0.62412026341084337</v>
      </c>
      <c r="X51">
        <f t="shared" si="2"/>
        <v>35.759457002034544</v>
      </c>
      <c r="Y51">
        <f t="shared" si="6"/>
        <v>-1.3487438333169258E-3</v>
      </c>
    </row>
    <row r="52" spans="19:25" x14ac:dyDescent="0.35">
      <c r="S52" s="12">
        <f t="shared" si="3"/>
        <v>452.54833995939066</v>
      </c>
      <c r="T52">
        <f t="shared" si="4"/>
        <v>5.9238439175444912E-2</v>
      </c>
      <c r="U52" s="18">
        <f t="shared" si="5"/>
        <v>3.5081665932037319E-3</v>
      </c>
      <c r="V52" s="19">
        <f t="shared" si="0"/>
        <v>16.417724942877861</v>
      </c>
      <c r="W52">
        <f t="shared" si="1"/>
        <v>0.64196382414066588</v>
      </c>
      <c r="X52">
        <f t="shared" si="2"/>
        <v>36.781817723338747</v>
      </c>
      <c r="Y52">
        <f t="shared" si="6"/>
        <v>-1.2729328175579175E-3</v>
      </c>
    </row>
    <row r="53" spans="19:25" x14ac:dyDescent="0.35">
      <c r="S53" s="12">
        <f t="shared" si="3"/>
        <v>493.50746413054134</v>
      </c>
      <c r="T53">
        <f t="shared" si="4"/>
        <v>6.4599975991843209E-2</v>
      </c>
      <c r="U53" s="18">
        <f t="shared" si="5"/>
        <v>4.1717058301361928E-3</v>
      </c>
      <c r="V53" s="19">
        <f t="shared" si="0"/>
        <v>15.972551381282816</v>
      </c>
      <c r="W53">
        <f t="shared" si="1"/>
        <v>0.66010196308817437</v>
      </c>
      <c r="X53">
        <f t="shared" si="2"/>
        <v>37.821056533252843</v>
      </c>
      <c r="Y53">
        <f t="shared" si="6"/>
        <v>-1.1717874923442893E-3</v>
      </c>
    </row>
    <row r="54" spans="19:25" x14ac:dyDescent="0.35">
      <c r="S54" s="12">
        <f t="shared" si="3"/>
        <v>538.17370576237761</v>
      </c>
      <c r="T54">
        <f t="shared" si="4"/>
        <v>7.0446773349095021E-2</v>
      </c>
      <c r="U54" s="18">
        <f t="shared" si="5"/>
        <v>4.9606958092482363E-3</v>
      </c>
      <c r="V54" s="19">
        <f t="shared" si="0"/>
        <v>15.55275471556353</v>
      </c>
      <c r="W54">
        <f t="shared" si="1"/>
        <v>0.67808432790378992</v>
      </c>
      <c r="X54">
        <f t="shared" si="2"/>
        <v>38.851370142852161</v>
      </c>
      <c r="Y54">
        <f t="shared" si="6"/>
        <v>-1.051694023125132E-3</v>
      </c>
    </row>
    <row r="55" spans="19:25" x14ac:dyDescent="0.35">
      <c r="S55" s="12">
        <f t="shared" si="3"/>
        <v>586.88258765098988</v>
      </c>
      <c r="T55">
        <f t="shared" si="4"/>
        <v>7.6822751078504906E-2</v>
      </c>
      <c r="U55" s="18">
        <f t="shared" si="5"/>
        <v>5.8988331144610179E-3</v>
      </c>
      <c r="V55" s="19">
        <f t="shared" si="0"/>
        <v>15.157854877860807</v>
      </c>
      <c r="W55">
        <f t="shared" si="1"/>
        <v>0.69545470444158397</v>
      </c>
      <c r="X55">
        <f t="shared" si="2"/>
        <v>39.846619407020832</v>
      </c>
      <c r="Y55">
        <f t="shared" si="6"/>
        <v>-9.1878922165316939E-4</v>
      </c>
    </row>
    <row r="56" spans="19:25" x14ac:dyDescent="0.35">
      <c r="S56" s="12">
        <f t="shared" si="3"/>
        <v>640.00000000000034</v>
      </c>
      <c r="T56">
        <f t="shared" si="4"/>
        <v>8.3775804095727865E-2</v>
      </c>
      <c r="U56" s="18">
        <f t="shared" si="5"/>
        <v>7.0142815009913307E-3</v>
      </c>
      <c r="V56" s="19">
        <f t="shared" si="0"/>
        <v>14.786716088684287</v>
      </c>
      <c r="W56">
        <f t="shared" si="1"/>
        <v>0.71176481248929824</v>
      </c>
      <c r="X56">
        <f t="shared" si="2"/>
        <v>40.781119761557214</v>
      </c>
      <c r="Y56">
        <f t="shared" si="6"/>
        <v>-7.7882799047720498E-4</v>
      </c>
    </row>
    <row r="57" spans="19:25" x14ac:dyDescent="0.35">
      <c r="S57" s="12">
        <f t="shared" si="3"/>
        <v>697.92494890576529</v>
      </c>
      <c r="T57">
        <f t="shared" si="4"/>
        <v>9.1358162176640986E-2</v>
      </c>
      <c r="U57" s="18">
        <f t="shared" si="5"/>
        <v>8.3405103315877388E-3</v>
      </c>
      <c r="V57" s="19">
        <f t="shared" si="0"/>
        <v>14.437555621593692</v>
      </c>
      <c r="W57">
        <f t="shared" si="1"/>
        <v>0.72658854810818818</v>
      </c>
      <c r="X57">
        <f t="shared" si="2"/>
        <v>41.630457249137358</v>
      </c>
      <c r="Y57">
        <f t="shared" si="6"/>
        <v>-6.3704461722004647E-4</v>
      </c>
    </row>
    <row r="58" spans="19:25" x14ac:dyDescent="0.35">
      <c r="S58" s="12">
        <f t="shared" si="3"/>
        <v>761.09255360174188</v>
      </c>
      <c r="T58">
        <f t="shared" si="4"/>
        <v>9.9626782295713673E-2</v>
      </c>
      <c r="U58" s="18">
        <f t="shared" si="5"/>
        <v>9.9172888441105677E-3</v>
      </c>
      <c r="V58" s="19">
        <f t="shared" si="0"/>
        <v>14.107980706186421</v>
      </c>
      <c r="W58">
        <f t="shared" si="1"/>
        <v>0.73953570189396922</v>
      </c>
      <c r="X58">
        <f t="shared" si="2"/>
        <v>42.372274517769441</v>
      </c>
      <c r="Y58">
        <f t="shared" si="6"/>
        <v>-4.9803006733616334E-4</v>
      </c>
    </row>
    <row r="59" spans="19:25" x14ac:dyDescent="0.35">
      <c r="S59" s="12">
        <f t="shared" si="3"/>
        <v>829.97731497664665</v>
      </c>
      <c r="T59">
        <f t="shared" si="4"/>
        <v>0.10864377647403395</v>
      </c>
      <c r="U59" s="18">
        <f t="shared" si="5"/>
        <v>1.1791864574584964E-2</v>
      </c>
      <c r="V59" s="19">
        <f t="shared" si="0"/>
        <v>13.795050135635066</v>
      </c>
      <c r="W59">
        <f t="shared" si="1"/>
        <v>0.75026432566401324</v>
      </c>
      <c r="X59">
        <f t="shared" si="2"/>
        <v>42.986979379776692</v>
      </c>
      <c r="Y59">
        <f t="shared" si="6"/>
        <v>-3.6564285025531831E-4</v>
      </c>
    </row>
    <row r="60" spans="19:25" x14ac:dyDescent="0.35">
      <c r="S60" s="12">
        <f t="shared" si="3"/>
        <v>905.09667991878132</v>
      </c>
      <c r="T60">
        <f t="shared" si="4"/>
        <v>0.11847687835088982</v>
      </c>
      <c r="U60" s="18">
        <f t="shared" si="5"/>
        <v>1.4020359139969256E-2</v>
      </c>
      <c r="V60" s="19">
        <f t="shared" si="0"/>
        <v>13.495355328271273</v>
      </c>
      <c r="W60">
        <f t="shared" si="1"/>
        <v>0.75849117040420133</v>
      </c>
      <c r="X60">
        <f t="shared" si="2"/>
        <v>43.458342862098874</v>
      </c>
      <c r="Y60">
        <f t="shared" si="6"/>
        <v>-2.4296333638422244E-4</v>
      </c>
    </row>
    <row r="61" spans="19:25" x14ac:dyDescent="0.35">
      <c r="S61" s="12">
        <f t="shared" si="3"/>
        <v>987.01492826108267</v>
      </c>
      <c r="T61">
        <f t="shared" si="4"/>
        <v>0.12919995198368642</v>
      </c>
      <c r="U61" s="18">
        <f t="shared" si="5"/>
        <v>1.6669420191011579E-2</v>
      </c>
      <c r="V61" s="19">
        <f t="shared" si="0"/>
        <v>13.205115009594852</v>
      </c>
      <c r="W61">
        <f t="shared" si="1"/>
        <v>0.76399990335011791</v>
      </c>
      <c r="X61">
        <f t="shared" si="2"/>
        <v>43.773970010364557</v>
      </c>
      <c r="Y61">
        <f t="shared" si="6"/>
        <v>-1.3229282473321531E-4</v>
      </c>
    </row>
    <row r="62" spans="19:25" x14ac:dyDescent="0.35">
      <c r="S62" s="12">
        <f t="shared" si="3"/>
        <v>1076.3474115247552</v>
      </c>
      <c r="T62">
        <f t="shared" si="4"/>
        <v>0.14089354669819004</v>
      </c>
      <c r="U62" s="18">
        <f t="shared" si="5"/>
        <v>1.9818174734081057E-2</v>
      </c>
      <c r="V62" s="19">
        <f t="shared" si="0"/>
        <v>12.920278223454122</v>
      </c>
      <c r="W62">
        <f t="shared" si="1"/>
        <v>0.76664705789204357</v>
      </c>
      <c r="X62">
        <f t="shared" si="2"/>
        <v>43.925640793335788</v>
      </c>
      <c r="Y62">
        <f t="shared" si="6"/>
        <v>-3.5191387479550652E-5</v>
      </c>
    </row>
    <row r="63" spans="19:25" x14ac:dyDescent="0.35">
      <c r="S63" s="12">
        <f t="shared" si="3"/>
        <v>1173.7651753019798</v>
      </c>
      <c r="T63">
        <f t="shared" si="4"/>
        <v>0.15364550215700981</v>
      </c>
      <c r="U63" s="18">
        <f t="shared" si="5"/>
        <v>2.3560536225731808E-2</v>
      </c>
      <c r="V63" s="19">
        <f t="shared" si="0"/>
        <v>12.636631640210295</v>
      </c>
      <c r="W63">
        <f t="shared" si="1"/>
        <v>0.7663658234601044</v>
      </c>
      <c r="X63">
        <f t="shared" si="2"/>
        <v>43.909527247331916</v>
      </c>
      <c r="Y63">
        <f t="shared" si="6"/>
        <v>4.7455999015634343E-5</v>
      </c>
    </row>
    <row r="64" spans="19:25" x14ac:dyDescent="0.35">
      <c r="S64" s="12">
        <f t="shared" si="3"/>
        <v>1280.0000000000007</v>
      </c>
      <c r="T64">
        <f t="shared" si="4"/>
        <v>0.16755160819145573</v>
      </c>
      <c r="U64" s="18">
        <f t="shared" si="5"/>
        <v>2.8007925858990177E-2</v>
      </c>
      <c r="V64" s="19">
        <f t="shared" si="0"/>
        <v>12.349908548276929</v>
      </c>
      <c r="W64">
        <f t="shared" si="1"/>
        <v>0.76316782455828702</v>
      </c>
      <c r="X64">
        <f t="shared" si="2"/>
        <v>43.726295407370309</v>
      </c>
      <c r="Y64">
        <f t="shared" si="6"/>
        <v>1.153568545052646E-4</v>
      </c>
    </row>
    <row r="65" spans="19:25" x14ac:dyDescent="0.35">
      <c r="S65" s="12">
        <f t="shared" si="3"/>
        <v>1395.8498978115306</v>
      </c>
      <c r="T65">
        <f t="shared" si="4"/>
        <v>0.18271632435328197</v>
      </c>
      <c r="U65" s="18">
        <f t="shared" si="5"/>
        <v>3.3292477213759629E-2</v>
      </c>
      <c r="V65" s="19">
        <f t="shared" si="0"/>
        <v>12.055897961743698</v>
      </c>
      <c r="W65">
        <f t="shared" si="1"/>
        <v>0.75714298525204893</v>
      </c>
      <c r="X65">
        <f t="shared" si="2"/>
        <v>43.381097542878337</v>
      </c>
      <c r="Y65">
        <f t="shared" si="6"/>
        <v>1.6872255628406493E-4</v>
      </c>
    </row>
    <row r="66" spans="19:25" x14ac:dyDescent="0.35">
      <c r="S66" s="12">
        <f t="shared" si="3"/>
        <v>1522.1851072034838</v>
      </c>
      <c r="T66">
        <f t="shared" si="4"/>
        <v>0.19925356459142735</v>
      </c>
      <c r="U66" s="18">
        <f t="shared" si="5"/>
        <v>3.9570802758424749E-2</v>
      </c>
      <c r="V66" s="19">
        <f t="shared" si="0"/>
        <v>11.75055258824521</v>
      </c>
      <c r="W66">
        <f t="shared" si="1"/>
        <v>0.74845747202101831</v>
      </c>
      <c r="X66">
        <f t="shared" si="2"/>
        <v>42.88345429183525</v>
      </c>
      <c r="Y66">
        <f t="shared" si="6"/>
        <v>2.0818101531802188E-4</v>
      </c>
    </row>
    <row r="67" spans="19:25" x14ac:dyDescent="0.35">
      <c r="S67" s="12">
        <f t="shared" si="3"/>
        <v>1659.9546299532933</v>
      </c>
      <c r="T67">
        <f t="shared" si="4"/>
        <v>0.2172875529480679</v>
      </c>
      <c r="U67" s="18">
        <f t="shared" si="5"/>
        <v>4.7028410228194505E-2</v>
      </c>
      <c r="V67" s="19">
        <f t="shared" si="0"/>
        <v>11.430093871763635</v>
      </c>
      <c r="W67">
        <f t="shared" si="1"/>
        <v>0.73734961238852503</v>
      </c>
      <c r="X67">
        <f t="shared" si="2"/>
        <v>42.247020815469646</v>
      </c>
      <c r="Y67">
        <f t="shared" si="6"/>
        <v>2.3469443668670625E-4</v>
      </c>
    </row>
    <row r="68" spans="19:25" x14ac:dyDescent="0.35">
      <c r="S68" s="12">
        <f t="shared" si="3"/>
        <v>1810.1933598375626</v>
      </c>
      <c r="T68">
        <f t="shared" si="4"/>
        <v>0.23695375670177965</v>
      </c>
      <c r="U68" s="18">
        <f t="shared" si="5"/>
        <v>5.588486608946331E-2</v>
      </c>
      <c r="V68" s="19">
        <f t="shared" si="0"/>
        <v>11.091111129187082</v>
      </c>
      <c r="W68">
        <f t="shared" si="1"/>
        <v>0.72412365556031033</v>
      </c>
      <c r="X68">
        <f t="shared" si="2"/>
        <v>41.489229309190712</v>
      </c>
      <c r="Y68">
        <f t="shared" si="6"/>
        <v>2.494828633728239E-4</v>
      </c>
    </row>
    <row r="69" spans="19:25" x14ac:dyDescent="0.35">
      <c r="S69" s="12">
        <f t="shared" si="3"/>
        <v>1974.0298565221653</v>
      </c>
      <c r="T69">
        <f t="shared" si="4"/>
        <v>0.25839990396737283</v>
      </c>
      <c r="U69" s="18">
        <f t="shared" si="5"/>
        <v>6.6399811194541802E-2</v>
      </c>
      <c r="V69" s="19">
        <f t="shared" si="0"/>
        <v>10.730650352553585</v>
      </c>
      <c r="W69">
        <f t="shared" si="1"/>
        <v>0.70914131312653161</v>
      </c>
      <c r="X69">
        <f t="shared" si="2"/>
        <v>40.630804320515423</v>
      </c>
      <c r="Y69">
        <f t="shared" si="6"/>
        <v>2.5395231762444248E-4</v>
      </c>
    </row>
    <row r="70" spans="19:25" x14ac:dyDescent="0.35">
      <c r="S70" s="12">
        <f t="shared" si="3"/>
        <v>2152.6948230495104</v>
      </c>
      <c r="T70">
        <f t="shared" si="4"/>
        <v>0.28178709339638008</v>
      </c>
      <c r="U70" s="18">
        <f t="shared" si="5"/>
        <v>7.8879938886533649E-2</v>
      </c>
      <c r="V70" s="19">
        <f t="shared" si="0"/>
        <v>10.346287104787029</v>
      </c>
      <c r="W70">
        <f t="shared" si="1"/>
        <v>0.69281120102623306</v>
      </c>
      <c r="X70">
        <f t="shared" si="2"/>
        <v>39.695157818192804</v>
      </c>
      <c r="Y70">
        <f t="shared" si="6"/>
        <v>2.4962589748301283E-4</v>
      </c>
    </row>
    <row r="71" spans="19:25" x14ac:dyDescent="0.35">
      <c r="S71" s="12">
        <f t="shared" si="3"/>
        <v>2347.5303506039595</v>
      </c>
      <c r="T71">
        <f t="shared" si="4"/>
        <v>0.30729100431401962</v>
      </c>
      <c r="U71" s="18">
        <f t="shared" si="5"/>
        <v>9.3687046035683216E-2</v>
      </c>
      <c r="V71" s="19">
        <f t="shared" si="0"/>
        <v>9.936177633082881</v>
      </c>
      <c r="W71">
        <f t="shared" si="1"/>
        <v>0.67557657055014564</v>
      </c>
      <c r="X71">
        <f t="shared" si="2"/>
        <v>38.707686230445447</v>
      </c>
      <c r="Y71">
        <f t="shared" si="6"/>
        <v>2.3807697563128357E-4</v>
      </c>
    </row>
    <row r="72" spans="19:25" x14ac:dyDescent="0.35">
      <c r="S72" s="12">
        <f t="shared" si="3"/>
        <v>2560.0000000000014</v>
      </c>
      <c r="T72">
        <f t="shared" si="4"/>
        <v>0.33510321638291146</v>
      </c>
      <c r="U72" s="18">
        <f t="shared" si="5"/>
        <v>0.11124725952503801</v>
      </c>
      <c r="V72" s="19">
        <f t="shared" ref="V72:V97" si="7">10*LOG10(($B$15+$B$16+$B$17)^2 + ( $B$15*$B$17*U72 - ($B$16*($B$15+$B$17) + 4*$B$15*$B$17) )*U72 )  - 10*LOG10( (1+$Z$2+$Z$3)^2 + ( 1*$Z$3*U72 - ($Z$2*(1+$Z$3) + 4*1*$Z$3) )*U72)</f>
        <v>9.4990832085798615</v>
      </c>
      <c r="W72">
        <f t="shared" si="1"/>
        <v>0.6579020065387915</v>
      </c>
      <c r="X72">
        <f t="shared" si="2"/>
        <v>37.695008307861045</v>
      </c>
      <c r="Y72">
        <f t="shared" si="6"/>
        <v>2.208651655256621E-4</v>
      </c>
    </row>
    <row r="73" spans="19:25" x14ac:dyDescent="0.35">
      <c r="S73" s="12">
        <f t="shared" si="3"/>
        <v>2791.6997956230612</v>
      </c>
      <c r="T73">
        <f t="shared" si="4"/>
        <v>0.36543264870656395</v>
      </c>
      <c r="U73" s="18">
        <f t="shared" si="5"/>
        <v>0.1320615198160098</v>
      </c>
      <c r="V73" s="19">
        <f t="shared" si="7"/>
        <v>9.034364794447022</v>
      </c>
      <c r="W73">
        <f t="shared" ref="W73:W97" si="8">ATAN2( ( $Z$1+$Z$2*$B$16+$Z$3*$B$17+ ($Z$1*$B$16+$Z$2*(1+$B$17)+$Z$3*$B$16)*COS(T73)+ ($Z$1*$B$17+$Z$3)*COS(2*T73) ) / ( 1+$B$16*$B$16+$B$17*$B$17+ 2* ( ($B$16+$B$16*$B$17)*COS(T73)+ $B$17*COS(2*T73) ) ),( ($Z$2-$Z$1*$B$16+$Z$3*$B$16-$Z$2*$B$17+ 2*(-$Z$1*$B$17+$Z$3)*COS(T73) )*SIN(T73) / ( 1+$B$16*$B$16+$B$17*$B$17+ 2*($B$16 + $B$16*$B$17)*COS(T73)+ 2*$B$17*COS(2*T73) ) ))+(PI()/2)</f>
        <v>0.64026000967173491</v>
      </c>
      <c r="X73">
        <f t="shared" ref="X73:X97" si="9">DEGREES(W73)</f>
        <v>36.68419634519568</v>
      </c>
      <c r="Y73">
        <f t="shared" si="6"/>
        <v>1.9947728166993758E-4</v>
      </c>
    </row>
    <row r="74" spans="19:25" x14ac:dyDescent="0.35">
      <c r="S74" s="12">
        <f t="shared" ref="S74:S95" si="10">S73*2^(1/8)</f>
        <v>3044.3702144069675</v>
      </c>
      <c r="T74">
        <f t="shared" ref="T74:T97" si="11">2*PI()*S74/$B$6</f>
        <v>0.39850712918285469</v>
      </c>
      <c r="U74" s="18">
        <f t="shared" ref="U74:U95" si="12">4*SIN(T74/2)^2</f>
        <v>0.15671736260275285</v>
      </c>
      <c r="V74" s="19">
        <f t="shared" si="7"/>
        <v>8.541948103023735</v>
      </c>
      <c r="W74">
        <f t="shared" si="8"/>
        <v>0.62311849920974838</v>
      </c>
      <c r="X74">
        <f t="shared" si="9"/>
        <v>35.702060141244502</v>
      </c>
      <c r="Y74">
        <f t="shared" ref="Y74:Y96" si="13">(-((W75-W73)/(S75-S73))/360)*1000</f>
        <v>1.7527649761452113E-4</v>
      </c>
    </row>
    <row r="75" spans="19:25" x14ac:dyDescent="0.35">
      <c r="S75" s="12">
        <f t="shared" si="10"/>
        <v>3319.9092599065866</v>
      </c>
      <c r="T75">
        <f t="shared" si="11"/>
        <v>0.43457510589613579</v>
      </c>
      <c r="U75" s="18">
        <f t="shared" si="12"/>
        <v>0.18590196954418667</v>
      </c>
      <c r="V75" s="19">
        <f t="shared" si="7"/>
        <v>8.022262309037437</v>
      </c>
      <c r="W75">
        <f t="shared" si="8"/>
        <v>0.60693023590540973</v>
      </c>
      <c r="X75">
        <f t="shared" si="9"/>
        <v>34.774540976259395</v>
      </c>
      <c r="Y75">
        <f t="shared" si="13"/>
        <v>1.494629262510367E-4</v>
      </c>
    </row>
    <row r="76" spans="19:25" x14ac:dyDescent="0.35">
      <c r="S76" s="12">
        <f t="shared" si="10"/>
        <v>3620.3867196751253</v>
      </c>
      <c r="T76">
        <f t="shared" si="11"/>
        <v>0.4739075134035593</v>
      </c>
      <c r="U76" s="18">
        <f t="shared" si="12"/>
        <v>0.22041634610001598</v>
      </c>
      <c r="V76" s="19">
        <f t="shared" si="7"/>
        <v>7.4761584459892036</v>
      </c>
      <c r="W76">
        <f t="shared" si="8"/>
        <v>0.59212497872908954</v>
      </c>
      <c r="X76">
        <f t="shared" si="9"/>
        <v>33.926262225450472</v>
      </c>
      <c r="Y76">
        <f t="shared" si="13"/>
        <v>1.2304790558085731E-4</v>
      </c>
    </row>
    <row r="77" spans="19:25" x14ac:dyDescent="0.35">
      <c r="S77" s="12">
        <f t="shared" si="10"/>
        <v>3948.0597130443307</v>
      </c>
      <c r="T77">
        <f t="shared" si="11"/>
        <v>0.51679980793474567</v>
      </c>
      <c r="U77" s="18">
        <f t="shared" si="12"/>
        <v>0.26119030985149644</v>
      </c>
      <c r="V77" s="19">
        <f t="shared" si="7"/>
        <v>6.9048152780404939</v>
      </c>
      <c r="W77">
        <f t="shared" si="8"/>
        <v>0.57910490075203402</v>
      </c>
      <c r="X77">
        <f t="shared" si="9"/>
        <v>33.180266708433962</v>
      </c>
      <c r="Y77">
        <f t="shared" si="13"/>
        <v>9.6842688693081708E-5</v>
      </c>
    </row>
    <row r="78" spans="19:25" x14ac:dyDescent="0.35">
      <c r="S78" s="12">
        <f t="shared" si="10"/>
        <v>4305.3896460990209</v>
      </c>
      <c r="T78">
        <f t="shared" si="11"/>
        <v>0.56357418679276017</v>
      </c>
      <c r="U78" s="18">
        <f t="shared" si="12"/>
        <v>0.30929771078739127</v>
      </c>
      <c r="V78" s="19">
        <f t="shared" si="7"/>
        <v>6.3096409659191046</v>
      </c>
      <c r="W78">
        <f t="shared" si="8"/>
        <v>0.5682434696723826</v>
      </c>
      <c r="X78">
        <f t="shared" si="9"/>
        <v>32.557952548097717</v>
      </c>
      <c r="Y78">
        <f t="shared" si="13"/>
        <v>7.146049735759464E-5</v>
      </c>
    </row>
    <row r="79" spans="19:25" x14ac:dyDescent="0.35">
      <c r="S79" s="12">
        <f t="shared" si="10"/>
        <v>4695.060701207919</v>
      </c>
      <c r="T79">
        <f t="shared" si="11"/>
        <v>0.61458200862803924</v>
      </c>
      <c r="U79" s="18">
        <f t="shared" si="12"/>
        <v>0.36597092154784067</v>
      </c>
      <c r="V79" s="19">
        <f t="shared" si="7"/>
        <v>5.6921782311431395</v>
      </c>
      <c r="W79">
        <f t="shared" si="8"/>
        <v>0.55988771838135154</v>
      </c>
      <c r="X79">
        <f t="shared" si="9"/>
        <v>32.079203264460645</v>
      </c>
      <c r="Y79">
        <f t="shared" si="13"/>
        <v>4.7329465365661785E-5</v>
      </c>
    </row>
    <row r="80" spans="19:25" x14ac:dyDescent="0.35">
      <c r="S80" s="12">
        <f t="shared" si="10"/>
        <v>5120.0000000000027</v>
      </c>
      <c r="T80">
        <f t="shared" si="11"/>
        <v>0.67020643276582292</v>
      </c>
      <c r="U80" s="18">
        <f t="shared" si="12"/>
        <v>0.43261308534832082</v>
      </c>
      <c r="V80" s="19">
        <f t="shared" si="7"/>
        <v>5.0540193334300554</v>
      </c>
      <c r="W80">
        <f t="shared" si="8"/>
        <v>0.55436364356105483</v>
      </c>
      <c r="X80">
        <f t="shared" si="9"/>
        <v>31.762697091543156</v>
      </c>
      <c r="Y80">
        <f t="shared" si="13"/>
        <v>2.4713157528013941E-5</v>
      </c>
    </row>
    <row r="81" spans="19:25" x14ac:dyDescent="0.35">
      <c r="S81" s="12">
        <f t="shared" si="10"/>
        <v>5583.3995912461223</v>
      </c>
      <c r="T81">
        <f t="shared" si="11"/>
        <v>0.73086529741312789</v>
      </c>
      <c r="U81" s="18">
        <f t="shared" si="12"/>
        <v>0.51080583424792492</v>
      </c>
      <c r="V81" s="19">
        <f t="shared" si="7"/>
        <v>4.3967355060686089</v>
      </c>
      <c r="W81">
        <f t="shared" si="8"/>
        <v>0.55198440116735248</v>
      </c>
      <c r="X81">
        <f t="shared" si="9"/>
        <v>31.626376543945408</v>
      </c>
      <c r="Y81">
        <f t="shared" si="13"/>
        <v>3.7351672004231089E-6</v>
      </c>
    </row>
    <row r="82" spans="19:25" x14ac:dyDescent="0.35">
      <c r="S82" s="12">
        <f t="shared" si="10"/>
        <v>6088.7404288139351</v>
      </c>
      <c r="T82">
        <f t="shared" si="11"/>
        <v>0.79701425836570938</v>
      </c>
      <c r="U82" s="18">
        <f t="shared" si="12"/>
        <v>0.60230911866984871</v>
      </c>
      <c r="V82" s="19">
        <f t="shared" si="7"/>
        <v>3.7218240373041489</v>
      </c>
      <c r="W82">
        <f t="shared" si="8"/>
        <v>0.55306101686990017</v>
      </c>
      <c r="X82">
        <f t="shared" si="9"/>
        <v>31.688062079858902</v>
      </c>
      <c r="Y82">
        <f t="shared" si="13"/>
        <v>-1.5595347431363615E-5</v>
      </c>
    </row>
    <row r="83" spans="19:25" x14ac:dyDescent="0.35">
      <c r="S83" s="12">
        <f t="shared" si="10"/>
        <v>6639.8185198131732</v>
      </c>
      <c r="T83">
        <f t="shared" si="11"/>
        <v>0.86915021179227159</v>
      </c>
      <c r="U83" s="18">
        <f t="shared" si="12"/>
        <v>0.70904833589633898</v>
      </c>
      <c r="V83" s="19">
        <f t="shared" si="7"/>
        <v>3.030675362503612</v>
      </c>
      <c r="W83">
        <f t="shared" si="8"/>
        <v>0.55791548044801842</v>
      </c>
      <c r="X83">
        <f t="shared" si="9"/>
        <v>31.966202354685056</v>
      </c>
      <c r="Y83">
        <f t="shared" si="13"/>
        <v>-3.3359638623021527E-5</v>
      </c>
    </row>
    <row r="84" spans="19:25" x14ac:dyDescent="0.35">
      <c r="S84" s="12">
        <f t="shared" si="10"/>
        <v>7240.7734393502506</v>
      </c>
      <c r="T84">
        <f t="shared" si="11"/>
        <v>0.9478150268071186</v>
      </c>
      <c r="U84" s="18">
        <f t="shared" si="12"/>
        <v>0.83308201877198185</v>
      </c>
      <c r="V84" s="19">
        <f t="shared" si="7"/>
        <v>2.3245626889953006</v>
      </c>
      <c r="W84">
        <f t="shared" si="8"/>
        <v>0.56689632263868206</v>
      </c>
      <c r="X84">
        <f t="shared" si="9"/>
        <v>32.480766708683106</v>
      </c>
      <c r="Y84">
        <f t="shared" si="13"/>
        <v>-4.9708495287656875E-5</v>
      </c>
    </row>
    <row r="85" spans="19:25" x14ac:dyDescent="0.35">
      <c r="S85" s="12">
        <f t="shared" si="10"/>
        <v>7896.1194260886614</v>
      </c>
      <c r="T85">
        <f t="shared" si="11"/>
        <v>1.0335996158694913</v>
      </c>
      <c r="U85" s="18">
        <f t="shared" si="12"/>
        <v>0.9765408614456651</v>
      </c>
      <c r="V85" s="19">
        <f t="shared" si="7"/>
        <v>1.6046581560574833</v>
      </c>
      <c r="W85">
        <f t="shared" si="8"/>
        <v>0.58039705841262912</v>
      </c>
      <c r="X85">
        <f t="shared" si="9"/>
        <v>33.254301888851558</v>
      </c>
      <c r="Y85">
        <f t="shared" si="13"/>
        <v>-6.4845379538745437E-5</v>
      </c>
    </row>
    <row r="86" spans="19:25" x14ac:dyDescent="0.35">
      <c r="S86" s="12">
        <f t="shared" si="10"/>
        <v>8610.7792921980417</v>
      </c>
      <c r="T86">
        <f t="shared" si="11"/>
        <v>1.1271483735855203</v>
      </c>
      <c r="U86" s="18">
        <f t="shared" si="12"/>
        <v>1.1415257692512444</v>
      </c>
      <c r="V86" s="19">
        <f t="shared" si="7"/>
        <v>0.87208280078286504</v>
      </c>
      <c r="W86">
        <f t="shared" si="8"/>
        <v>0.59887820045804041</v>
      </c>
      <c r="X86">
        <f t="shared" si="9"/>
        <v>34.3131933286354</v>
      </c>
      <c r="Y86">
        <f t="shared" si="13"/>
        <v>-7.9013750408122858E-5</v>
      </c>
    </row>
    <row r="87" spans="19:25" x14ac:dyDescent="0.35">
      <c r="S87" s="12">
        <f t="shared" si="10"/>
        <v>9390.121402415838</v>
      </c>
      <c r="T87">
        <f t="shared" si="11"/>
        <v>1.2291640172560785</v>
      </c>
      <c r="U87" s="18">
        <f t="shared" si="12"/>
        <v>1.3299489707727872</v>
      </c>
      <c r="V87" s="19">
        <f t="shared" si="7"/>
        <v>0.12800341800565063</v>
      </c>
      <c r="W87">
        <f t="shared" si="8"/>
        <v>0.62289387014866193</v>
      </c>
      <c r="X87">
        <f t="shared" si="9"/>
        <v>35.689189844088268</v>
      </c>
      <c r="Y87">
        <f t="shared" si="13"/>
        <v>-9.2488139373551599E-5</v>
      </c>
    </row>
    <row r="88" spans="19:25" x14ac:dyDescent="0.35">
      <c r="S88" s="12">
        <f t="shared" si="10"/>
        <v>10240.000000000005</v>
      </c>
      <c r="T88">
        <f t="shared" si="11"/>
        <v>1.3404128655316458</v>
      </c>
      <c r="U88" s="18">
        <f t="shared" si="12"/>
        <v>1.54329825977869</v>
      </c>
      <c r="V88" s="19">
        <f t="shared" si="7"/>
        <v>-0.626200940487458</v>
      </c>
      <c r="W88">
        <f t="shared" si="8"/>
        <v>0.65312429353968759</v>
      </c>
      <c r="X88">
        <f t="shared" si="9"/>
        <v>37.421265517287601</v>
      </c>
      <c r="Y88">
        <f t="shared" si="13"/>
        <v>-1.055678708801293E-4</v>
      </c>
    </row>
    <row r="89" spans="19:25" x14ac:dyDescent="0.35">
      <c r="S89" s="12">
        <f t="shared" si="10"/>
        <v>11166.799182492245</v>
      </c>
      <c r="T89">
        <f t="shared" si="11"/>
        <v>1.4617305948262558</v>
      </c>
      <c r="U89" s="18">
        <f t="shared" si="12"/>
        <v>1.7823007366899815</v>
      </c>
      <c r="V89" s="19">
        <f t="shared" si="7"/>
        <v>-1.3886644882139545</v>
      </c>
      <c r="W89">
        <f t="shared" si="8"/>
        <v>0.69041550272243424</v>
      </c>
      <c r="X89">
        <f t="shared" si="9"/>
        <v>39.557894416398483</v>
      </c>
      <c r="Y89">
        <f t="shared" si="13"/>
        <v>-1.1857132745502573E-4</v>
      </c>
    </row>
    <row r="90" spans="19:25" x14ac:dyDescent="0.35">
      <c r="S90" s="12">
        <f t="shared" si="10"/>
        <v>12177.48085762787</v>
      </c>
      <c r="T90">
        <f t="shared" si="11"/>
        <v>1.5940285167314188</v>
      </c>
      <c r="U90" s="18">
        <f t="shared" si="12"/>
        <v>2.0464602002465448</v>
      </c>
      <c r="V90" s="19">
        <f t="shared" si="7"/>
        <v>-2.1565892524194803</v>
      </c>
      <c r="W90">
        <f t="shared" si="8"/>
        <v>0.73582697733443714</v>
      </c>
      <c r="X90">
        <f t="shared" si="9"/>
        <v>42.159780253131736</v>
      </c>
      <c r="Y90">
        <f t="shared" si="13"/>
        <v>-1.3182687821789945E-4</v>
      </c>
    </row>
    <row r="91" spans="19:25" x14ac:dyDescent="0.35">
      <c r="S91" s="12">
        <f t="shared" si="10"/>
        <v>13279.637039626346</v>
      </c>
      <c r="T91">
        <f t="shared" si="11"/>
        <v>1.7383004235845432</v>
      </c>
      <c r="U91" s="18">
        <f t="shared" si="12"/>
        <v>2.3334438009479883</v>
      </c>
      <c r="V91" s="19">
        <f t="shared" si="7"/>
        <v>-2.9255280655488933</v>
      </c>
      <c r="W91">
        <f t="shared" si="8"/>
        <v>0.7906858775216048</v>
      </c>
      <c r="X91">
        <f t="shared" si="9"/>
        <v>45.302963702585885</v>
      </c>
      <c r="Y91">
        <f t="shared" si="13"/>
        <v>-1.4565326167557195E-4</v>
      </c>
    </row>
    <row r="92" spans="19:25" x14ac:dyDescent="0.35">
      <c r="S92" s="12">
        <f t="shared" si="10"/>
        <v>14481.546878700501</v>
      </c>
      <c r="T92">
        <f t="shared" si="11"/>
        <v>1.8956300536142372</v>
      </c>
      <c r="U92" s="18">
        <f t="shared" si="12"/>
        <v>2.6383024250867271</v>
      </c>
      <c r="V92" s="19">
        <f t="shared" si="7"/>
        <v>-3.6882425199656894</v>
      </c>
      <c r="W92">
        <f t="shared" si="8"/>
        <v>0.85664108052506804</v>
      </c>
      <c r="X92">
        <f t="shared" si="9"/>
        <v>49.081918471612902</v>
      </c>
      <c r="Y92">
        <f t="shared" si="13"/>
        <v>-1.6031630822521399E-4</v>
      </c>
    </row>
    <row r="93" spans="19:25" x14ac:dyDescent="0.35">
      <c r="S93" s="12">
        <f t="shared" si="10"/>
        <v>15792.238852177323</v>
      </c>
      <c r="T93">
        <f t="shared" si="11"/>
        <v>2.0671992317389827</v>
      </c>
      <c r="U93" s="18">
        <f t="shared" si="12"/>
        <v>2.952531391709619</v>
      </c>
      <c r="V93" s="19">
        <f t="shared" si="7"/>
        <v>-4.4329215120402914</v>
      </c>
      <c r="W93">
        <f t="shared" si="8"/>
        <v>0.93569785430774011</v>
      </c>
      <c r="X93">
        <f t="shared" si="9"/>
        <v>53.611537951280503</v>
      </c>
      <c r="Y93">
        <f t="shared" si="13"/>
        <v>-1.759398191904118E-4</v>
      </c>
    </row>
    <row r="94" spans="19:25" x14ac:dyDescent="0.35">
      <c r="S94" s="12">
        <f t="shared" si="10"/>
        <v>17221.558584396083</v>
      </c>
      <c r="T94">
        <f t="shared" si="11"/>
        <v>2.2542967471710407</v>
      </c>
      <c r="U94" s="18">
        <f t="shared" si="12"/>
        <v>3.2630219951403325</v>
      </c>
      <c r="V94" s="19">
        <f t="shared" si="7"/>
        <v>-5.1405173761492557</v>
      </c>
      <c r="W94">
        <f t="shared" si="8"/>
        <v>1.0301888595937574</v>
      </c>
      <c r="X94">
        <f t="shared" si="9"/>
        <v>59.025473756117648</v>
      </c>
      <c r="Y94">
        <f t="shared" si="13"/>
        <v>-1.9233916039551569E-4</v>
      </c>
    </row>
    <row r="95" spans="19:25" x14ac:dyDescent="0.35">
      <c r="S95" s="12">
        <f t="shared" si="10"/>
        <v>18780.242804831676</v>
      </c>
      <c r="T95">
        <f t="shared" si="11"/>
        <v>2.458328034512157</v>
      </c>
      <c r="U95" s="18">
        <f t="shared" si="12"/>
        <v>3.5510316182315527</v>
      </c>
      <c r="V95" s="19">
        <f t="shared" si="7"/>
        <v>-5.7810853520179286</v>
      </c>
      <c r="W95">
        <f t="shared" si="8"/>
        <v>1.1425935160520675</v>
      </c>
      <c r="X95">
        <f t="shared" si="9"/>
        <v>65.465786168796754</v>
      </c>
      <c r="Y95">
        <f t="shared" si="13"/>
        <v>-2.0875204017010404E-4</v>
      </c>
    </row>
    <row r="96" spans="19:25" x14ac:dyDescent="0.35">
      <c r="S96" s="12">
        <f>S95*2^(1/8)</f>
        <v>20480.000000000011</v>
      </c>
      <c r="T96">
        <f t="shared" si="11"/>
        <v>2.6808257310632917</v>
      </c>
      <c r="U96" s="18">
        <f>4*SIN(T96/2)^2</f>
        <v>3.7914235204788267</v>
      </c>
      <c r="V96" s="19">
        <f t="shared" si="7"/>
        <v>-6.3095787517088606</v>
      </c>
      <c r="W96">
        <f t="shared" si="8"/>
        <v>1.2750631251753068</v>
      </c>
      <c r="X96">
        <f t="shared" si="9"/>
        <v>73.055735685306061</v>
      </c>
      <c r="Y96">
        <f t="shared" si="13"/>
        <v>-2.2350409029243075E-4</v>
      </c>
    </row>
    <row r="97" spans="19:24" x14ac:dyDescent="0.35">
      <c r="S97" s="12">
        <f>S96*2^(1/8)</f>
        <v>22333.598364984489</v>
      </c>
      <c r="T97">
        <f t="shared" si="11"/>
        <v>2.9234611896525116</v>
      </c>
      <c r="U97" s="18">
        <f>4*SIN(T97/2)^2</f>
        <v>3.9526070307542756</v>
      </c>
      <c r="V97" s="19">
        <f t="shared" si="7"/>
        <v>-6.6629259663311071</v>
      </c>
      <c r="W97">
        <f t="shared" si="8"/>
        <v>1.4285017367567694</v>
      </c>
      <c r="X97">
        <f t="shared" si="9"/>
        <v>81.847120543271032</v>
      </c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sheetProtection selectLockedCells="1" selectUnlockedCells="1"/>
  <phoneticPr fontId="8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7"/>
  <sheetViews>
    <sheetView tabSelected="1" topLeftCell="A11" zoomScaleNormal="100" workbookViewId="0">
      <selection activeCell="B4" sqref="B4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6" max="26" width="17.54296875" bestFit="1" customWidth="1"/>
    <col min="28" max="28" width="17.81640625" bestFit="1" customWidth="1"/>
    <col min="29" max="29" width="17.81640625" customWidth="1"/>
    <col min="30" max="30" width="10.54296875" bestFit="1" customWidth="1"/>
    <col min="31" max="31" width="17.54296875" customWidth="1"/>
    <col min="32" max="32" width="17.54296875" bestFit="1" customWidth="1"/>
    <col min="35" max="36" width="17.54296875" bestFit="1" customWidth="1"/>
  </cols>
  <sheetData>
    <row r="1" spans="1:36" x14ac:dyDescent="0.35">
      <c r="Y1" t="s">
        <v>19</v>
      </c>
      <c r="Z1" s="22">
        <v>1</v>
      </c>
      <c r="AA1" t="s">
        <v>22</v>
      </c>
      <c r="AB1" s="31">
        <f>(1+COS($AB$4))/2</f>
        <v>0.99999614469073528</v>
      </c>
      <c r="AC1" s="31"/>
      <c r="AD1" t="s">
        <v>42</v>
      </c>
      <c r="AE1" s="22">
        <f>Z2^2-4*Z1*Z3</f>
        <v>-3.2862601528904634E-14</v>
      </c>
      <c r="AF1" s="22">
        <f>B16^2-4*B15*B17</f>
        <v>0</v>
      </c>
      <c r="AH1" t="s">
        <v>48</v>
      </c>
      <c r="AI1" s="22">
        <f>IF(AE1&lt;0,AE5,AE2)</f>
        <v>0.98441412741609502</v>
      </c>
      <c r="AJ1" s="22">
        <f>IF(AE1&lt;0,AE5,AE2)</f>
        <v>0.98441412741609502</v>
      </c>
    </row>
    <row r="2" spans="1:36" x14ac:dyDescent="0.35">
      <c r="A2" s="1" t="s">
        <v>56</v>
      </c>
      <c r="B2" s="6"/>
      <c r="Y2" t="s">
        <v>20</v>
      </c>
      <c r="Z2" s="22">
        <f>ROUND(-B12,14)</f>
        <v>-1.96882825483219</v>
      </c>
      <c r="AA2" t="s">
        <v>23</v>
      </c>
      <c r="AB2" s="31">
        <f>1+COS($AB$4)</f>
        <v>1.9999922893814706</v>
      </c>
      <c r="AC2" s="31"/>
      <c r="AD2" t="s">
        <v>43</v>
      </c>
      <c r="AE2" s="22" t="e">
        <f>(-Z2-SQRT(AE1))/2*Z1</f>
        <v>#NUM!</v>
      </c>
      <c r="AF2" s="22">
        <f>(-B16-SQRT(AF1))/2*B15</f>
        <v>-3.6881154159048548E-9</v>
      </c>
      <c r="AI2" s="22">
        <f>IF(AE1&lt;0,AE6,0)</f>
        <v>9.0640224967870404E-8</v>
      </c>
      <c r="AJ2" s="22">
        <f>IF(AE1&lt;0,-AE6,0)</f>
        <v>-9.0640224967870404E-8</v>
      </c>
    </row>
    <row r="3" spans="1:36" x14ac:dyDescent="0.35">
      <c r="A3" t="s">
        <v>50</v>
      </c>
      <c r="B3" s="26">
        <v>120</v>
      </c>
      <c r="C3" t="s">
        <v>4</v>
      </c>
      <c r="Y3" t="s">
        <v>21</v>
      </c>
      <c r="Z3" s="22">
        <f>ROUND(-B13,14)</f>
        <v>0.96907117425639999</v>
      </c>
      <c r="AA3" t="s">
        <v>24</v>
      </c>
      <c r="AB3" s="31">
        <f>(1+COS($AB$4))/2</f>
        <v>0.99999614469073528</v>
      </c>
      <c r="AC3" s="31"/>
      <c r="AD3" t="s">
        <v>44</v>
      </c>
      <c r="AE3" s="22" t="e">
        <f>(-Z2-SQRT(AE1))/2*Z1</f>
        <v>#NUM!</v>
      </c>
      <c r="AF3" s="22">
        <f>(-B16-SQRT(AF1))/2*B15</f>
        <v>-3.6881154159048548E-9</v>
      </c>
    </row>
    <row r="4" spans="1:36" x14ac:dyDescent="0.35">
      <c r="A4" t="s">
        <v>51</v>
      </c>
      <c r="B4" s="26">
        <v>0.5</v>
      </c>
      <c r="AA4" t="s">
        <v>52</v>
      </c>
      <c r="AB4">
        <f>2*PI()*$B$3/($B$6*4)</f>
        <v>3.9269908169872409E-3</v>
      </c>
      <c r="AE4" s="22"/>
      <c r="AF4" s="22"/>
      <c r="AH4" t="s">
        <v>49</v>
      </c>
      <c r="AI4" s="22">
        <f>IF(AF1&lt;0,AF5,AF2)</f>
        <v>-3.6881154159048548E-9</v>
      </c>
      <c r="AJ4" s="22">
        <f>IF(AF1&lt;0,AF5,AF2)</f>
        <v>-3.6881154159048548E-9</v>
      </c>
    </row>
    <row r="5" spans="1:36" x14ac:dyDescent="0.35">
      <c r="B5" t="s">
        <v>62</v>
      </c>
      <c r="AA5" t="s">
        <v>53</v>
      </c>
      <c r="AB5">
        <f>SIN($B$22)/(2*$B$4)</f>
        <v>1.5707317311820672E-2</v>
      </c>
      <c r="AD5" t="s">
        <v>45</v>
      </c>
      <c r="AE5" s="22">
        <f>-Z2/(2*Z1)</f>
        <v>0.98441412741609502</v>
      </c>
      <c r="AF5" s="22">
        <f>-B16/(2*B15)</f>
        <v>-1</v>
      </c>
      <c r="AG5" s="1"/>
      <c r="AI5" s="22">
        <f>IF(AF1&lt;0,AF6,0)</f>
        <v>0</v>
      </c>
      <c r="AJ5" s="22">
        <f>IF(AF1&lt;0,-AF6,0)</f>
        <v>0</v>
      </c>
    </row>
    <row r="6" spans="1:36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D6" t="s">
        <v>46</v>
      </c>
      <c r="AE6" s="22">
        <f>SQRT(-AE1)/(2*Z1)</f>
        <v>9.0640224967870404E-8</v>
      </c>
      <c r="AF6" s="22">
        <f>SQRT(-AF1)/(2*B15)</f>
        <v>0</v>
      </c>
    </row>
    <row r="7" spans="1:36" x14ac:dyDescent="0.35">
      <c r="B7" s="6"/>
      <c r="S7" s="7" t="s">
        <v>4</v>
      </c>
      <c r="V7" s="17" t="s">
        <v>14</v>
      </c>
      <c r="W7" s="16"/>
      <c r="X7" s="16"/>
      <c r="Y7" s="16"/>
      <c r="AD7" t="s">
        <v>47</v>
      </c>
      <c r="AE7" s="22">
        <f>SQRT(AE5^2+AE6^2)</f>
        <v>0.98441412741609924</v>
      </c>
    </row>
    <row r="8" spans="1:36" x14ac:dyDescent="0.35">
      <c r="B8" s="6"/>
      <c r="S8" s="9">
        <v>10</v>
      </c>
      <c r="T8">
        <f>2*PI()*S8/$B$6</f>
        <v>1.308996938995747E-3</v>
      </c>
      <c r="U8" s="18">
        <f>4*SIN(T8/2)^2</f>
        <v>1.7134727416344432E-6</v>
      </c>
      <c r="V8" s="19">
        <f t="shared" ref="V8:V39" si="0">10*LOG10(($B$15+$B$16+$B$17)^2 + ( $B$15*$B$17*U8 - ($B$16*($B$15+$B$17) + 4*$B$15*$B$17) )*U8 )  - 10*LOG10( (1+$Z$2+$Z$3)^2 + ( 1*$Z$3*U8 - ($Z$2*(1+$Z$3) + 4*1*$Z$3) )*U8)</f>
        <v>-6.0107756805848567E-2</v>
      </c>
      <c r="Y8" s="27"/>
      <c r="AE8" s="22"/>
    </row>
    <row r="9" spans="1:36" x14ac:dyDescent="0.35">
      <c r="A9" s="33" t="s">
        <v>54</v>
      </c>
      <c r="B9" s="33"/>
      <c r="C9" s="33"/>
      <c r="D9" s="1"/>
      <c r="S9" s="12">
        <f>S8*2^(1/8)</f>
        <v>10.905077326652577</v>
      </c>
      <c r="T9">
        <f>2*PI()*S9/$B$6</f>
        <v>1.427471284010015E-3</v>
      </c>
      <c r="U9" s="18">
        <f>4*SIN(T9/2)^2</f>
        <v>2.0376739206635231E-6</v>
      </c>
      <c r="V9" s="19">
        <f t="shared" si="0"/>
        <v>-7.1433927885792059E-2</v>
      </c>
      <c r="AE9" s="22">
        <f>IF(AE1&lt;0,AE7,AE2)</f>
        <v>0.98441412741609924</v>
      </c>
    </row>
    <row r="10" spans="1:36" x14ac:dyDescent="0.35">
      <c r="A10" s="33" t="s">
        <v>55</v>
      </c>
      <c r="B10" s="33"/>
      <c r="C10" s="33"/>
      <c r="S10" s="12">
        <f t="shared" ref="S10:S62" si="1">S9*2^(1/8)</f>
        <v>11.892071150027212</v>
      </c>
      <c r="T10">
        <f t="shared" ref="T10:T73" si="2">2*PI()*S10/$B$6</f>
        <v>1.5566684733705255E-3</v>
      </c>
      <c r="U10" s="18">
        <f t="shared" ref="U10:U62" si="3">4*SIN(T10/2)^2</f>
        <v>2.4232162466541498E-6</v>
      </c>
      <c r="V10" s="19">
        <f t="shared" si="0"/>
        <v>-8.4883895898329342E-2</v>
      </c>
    </row>
    <row r="11" spans="1:36" x14ac:dyDescent="0.35">
      <c r="A11" t="s">
        <v>19</v>
      </c>
      <c r="B11" s="23">
        <v>1</v>
      </c>
      <c r="S11" s="12">
        <f t="shared" si="1"/>
        <v>12.968395546510099</v>
      </c>
      <c r="T11">
        <f t="shared" si="2"/>
        <v>1.6975590074067798E-3</v>
      </c>
      <c r="U11" s="18">
        <f t="shared" si="3"/>
        <v>2.8817058916085552E-6</v>
      </c>
      <c r="V11" s="19">
        <f t="shared" si="0"/>
        <v>-0.10085163217219417</v>
      </c>
    </row>
    <row r="12" spans="1:36" x14ac:dyDescent="0.35">
      <c r="A12" t="s">
        <v>20</v>
      </c>
      <c r="B12" s="20">
        <f>-(-2*COS(B22))/B24</f>
        <v>1.9688282548321936</v>
      </c>
      <c r="S12" s="12">
        <f t="shared" si="1"/>
        <v>14.142135623730953</v>
      </c>
      <c r="T12">
        <f t="shared" si="2"/>
        <v>1.8512012242326529E-3</v>
      </c>
      <c r="U12" s="18">
        <f t="shared" si="3"/>
        <v>3.4269449939373591E-6</v>
      </c>
      <c r="V12" s="19">
        <f t="shared" si="0"/>
        <v>-0.11980244899910986</v>
      </c>
    </row>
    <row r="13" spans="1:36" ht="15" customHeight="1" x14ac:dyDescent="0.35">
      <c r="A13" t="s">
        <v>21</v>
      </c>
      <c r="B13" s="20">
        <f>-(1-B23)/B24</f>
        <v>-0.96907117425639544</v>
      </c>
      <c r="C13" s="25"/>
      <c r="S13" s="12">
        <f t="shared" si="1"/>
        <v>15.422108254079411</v>
      </c>
      <c r="T13">
        <f t="shared" si="2"/>
        <v>2.0187492497450994E-3</v>
      </c>
      <c r="U13" s="18">
        <f t="shared" si="3"/>
        <v>4.0753471493077851E-6</v>
      </c>
      <c r="V13" s="19">
        <f t="shared" si="0"/>
        <v>-0.14228521004280026</v>
      </c>
    </row>
    <row r="14" spans="1:36" ht="15" customHeight="1" x14ac:dyDescent="0.35">
      <c r="B14" s="21"/>
      <c r="C14" s="25"/>
      <c r="S14" s="12">
        <f t="shared" si="1"/>
        <v>16.817928305074293</v>
      </c>
      <c r="T14">
        <f t="shared" si="2"/>
        <v>2.2014616671592185E-3</v>
      </c>
      <c r="U14" s="18">
        <f t="shared" si="3"/>
        <v>4.8464315146453117E-6</v>
      </c>
      <c r="V14" s="19">
        <f t="shared" si="0"/>
        <v>-0.16894634293926458</v>
      </c>
    </row>
    <row r="15" spans="1:36" x14ac:dyDescent="0.35">
      <c r="A15" t="s">
        <v>22</v>
      </c>
      <c r="B15" s="20">
        <f>((1-COS($B$22))/2)/$B$24</f>
        <v>6.0729856050420987E-5</v>
      </c>
      <c r="S15" s="12">
        <f t="shared" si="1"/>
        <v>18.340080864093427</v>
      </c>
      <c r="T15">
        <f t="shared" si="2"/>
        <v>2.4007109712032774E-3</v>
      </c>
      <c r="U15" s="18">
        <f t="shared" si="3"/>
        <v>5.7634103991787035E-6</v>
      </c>
      <c r="V15" s="19">
        <f t="shared" si="0"/>
        <v>-0.20054580118926424</v>
      </c>
    </row>
    <row r="16" spans="1:36" x14ac:dyDescent="0.35">
      <c r="A16" t="s">
        <v>23</v>
      </c>
      <c r="B16" s="20">
        <f>(1-COS($B$22))/$B$24</f>
        <v>1.2145971210084197E-4</v>
      </c>
      <c r="S16" s="12">
        <f t="shared" si="1"/>
        <v>20.000000000000004</v>
      </c>
      <c r="T16">
        <f t="shared" si="2"/>
        <v>2.6179938779914949E-3</v>
      </c>
      <c r="U16" s="18">
        <f t="shared" si="3"/>
        <v>6.8538880305489414E-6</v>
      </c>
      <c r="V16" s="19">
        <f t="shared" si="0"/>
        <v>-0.23797508061066708</v>
      </c>
    </row>
    <row r="17" spans="1:22" x14ac:dyDescent="0.35">
      <c r="A17" t="s">
        <v>24</v>
      </c>
      <c r="B17" s="20">
        <f>((1-COS($B$22))/2)/$B$24</f>
        <v>6.0729856050420987E-5</v>
      </c>
      <c r="S17" s="12">
        <f t="shared" si="1"/>
        <v>21.810154653305158</v>
      </c>
      <c r="T17">
        <f t="shared" si="2"/>
        <v>2.8549425680200304E-3</v>
      </c>
      <c r="U17" s="18">
        <f t="shared" si="3"/>
        <v>8.1506915305390883E-6</v>
      </c>
      <c r="V17" s="19">
        <f t="shared" si="0"/>
        <v>-0.2822773236414946</v>
      </c>
    </row>
    <row r="18" spans="1:22" x14ac:dyDescent="0.35">
      <c r="S18" s="12">
        <f t="shared" si="1"/>
        <v>23.784142300054427</v>
      </c>
      <c r="T18">
        <f t="shared" si="2"/>
        <v>3.1133369467410514E-3</v>
      </c>
      <c r="U18" s="18">
        <f t="shared" si="3"/>
        <v>9.6928591146396239E-6</v>
      </c>
      <c r="V18" s="19">
        <f t="shared" si="0"/>
        <v>-0.33466943170552099</v>
      </c>
    </row>
    <row r="19" spans="1:22" x14ac:dyDescent="0.35">
      <c r="A19" t="s">
        <v>34</v>
      </c>
      <c r="B19" s="24" t="str">
        <f>IF(ABS(AE9)&lt;1,"Stable","Not stable")</f>
        <v>Stable</v>
      </c>
      <c r="S19" s="12">
        <f t="shared" si="1"/>
        <v>25.936791093020201</v>
      </c>
      <c r="T19">
        <f t="shared" si="2"/>
        <v>3.39511801481356E-3</v>
      </c>
      <c r="U19" s="18">
        <f t="shared" si="3"/>
        <v>1.1526815262205378E-5</v>
      </c>
      <c r="V19" s="19">
        <f t="shared" si="0"/>
        <v>-0.39656593861487011</v>
      </c>
    </row>
    <row r="20" spans="1:22" x14ac:dyDescent="0.35">
      <c r="S20" s="12">
        <f t="shared" si="1"/>
        <v>28.284271247461909</v>
      </c>
      <c r="T20">
        <f t="shared" si="2"/>
        <v>3.7024024484653062E-3</v>
      </c>
      <c r="U20" s="18">
        <f t="shared" si="3"/>
        <v>1.3707768231797451E-5</v>
      </c>
      <c r="V20" s="19">
        <f t="shared" si="0"/>
        <v>-0.46960416209532241</v>
      </c>
    </row>
    <row r="21" spans="1:22" x14ac:dyDescent="0.35">
      <c r="A21" s="1"/>
      <c r="S21" s="12">
        <f t="shared" si="1"/>
        <v>30.844216508158826</v>
      </c>
      <c r="T21">
        <f t="shared" si="2"/>
        <v>4.0374984994901997E-3</v>
      </c>
      <c r="U21" s="18">
        <f t="shared" si="3"/>
        <v>1.6301371988776759E-5</v>
      </c>
      <c r="V21" s="19">
        <f t="shared" si="0"/>
        <v>-0.55566983156225547</v>
      </c>
    </row>
    <row r="22" spans="1:22" x14ac:dyDescent="0.35">
      <c r="A22" t="s">
        <v>52</v>
      </c>
      <c r="B22">
        <f>2*PI()*$B$3/$B$6</f>
        <v>1.5707963267948963E-2</v>
      </c>
      <c r="S22" s="12">
        <f t="shared" si="1"/>
        <v>33.635856610148593</v>
      </c>
      <c r="T22">
        <f t="shared" si="2"/>
        <v>4.4029233343184379E-3</v>
      </c>
      <c r="U22" s="18">
        <f t="shared" si="3"/>
        <v>1.9385702570682833E-5</v>
      </c>
      <c r="V22" s="19">
        <f t="shared" si="0"/>
        <v>-0.65692197682224673</v>
      </c>
    </row>
    <row r="23" spans="1:22" x14ac:dyDescent="0.35">
      <c r="A23" t="s">
        <v>53</v>
      </c>
      <c r="B23">
        <f>SIN($B$22)/(2*$B$4)</f>
        <v>1.5707317311820672E-2</v>
      </c>
      <c r="S23" s="12">
        <f t="shared" si="1"/>
        <v>36.68016172818686</v>
      </c>
      <c r="T23">
        <f t="shared" si="2"/>
        <v>4.8014219424065549E-3</v>
      </c>
      <c r="U23" s="18">
        <f t="shared" si="3"/>
        <v>2.3053608379815388E-5</v>
      </c>
      <c r="V23" s="19">
        <f t="shared" si="0"/>
        <v>-0.77581535079467301</v>
      </c>
    </row>
    <row r="24" spans="1:22" x14ac:dyDescent="0.35">
      <c r="A24" t="s">
        <v>19</v>
      </c>
      <c r="B24">
        <f>1+$B$23</f>
        <v>1.0157073173118207</v>
      </c>
      <c r="S24" s="12">
        <f t="shared" si="1"/>
        <v>40.000000000000014</v>
      </c>
      <c r="T24">
        <f t="shared" si="2"/>
        <v>5.2359877559829907E-3</v>
      </c>
      <c r="U24" s="18">
        <f t="shared" si="3"/>
        <v>2.7415505146414638E-5</v>
      </c>
      <c r="V24" s="19">
        <f t="shared" si="0"/>
        <v>-0.91511806096083603</v>
      </c>
    </row>
    <row r="25" spans="1:22" x14ac:dyDescent="0.35">
      <c r="S25" s="12">
        <f t="shared" si="1"/>
        <v>43.620309306610324</v>
      </c>
      <c r="T25">
        <f t="shared" si="2"/>
        <v>5.7098851360400608E-3</v>
      </c>
      <c r="U25" s="18">
        <f t="shared" si="3"/>
        <v>3.2602699688383923E-5</v>
      </c>
      <c r="V25" s="19">
        <f t="shared" si="0"/>
        <v>-1.0779214348882249</v>
      </c>
    </row>
    <row r="26" spans="1:22" x14ac:dyDescent="0.35">
      <c r="S26" s="12">
        <f t="shared" si="1"/>
        <v>47.568284600108861</v>
      </c>
      <c r="T26">
        <f t="shared" si="2"/>
        <v>6.2266738934821028E-3</v>
      </c>
      <c r="U26" s="18">
        <f t="shared" si="3"/>
        <v>3.8771342507040672E-5</v>
      </c>
      <c r="V26" s="19">
        <f t="shared" si="0"/>
        <v>-1.2676385162722426</v>
      </c>
    </row>
    <row r="27" spans="1:22" x14ac:dyDescent="0.35">
      <c r="S27" s="12">
        <f t="shared" si="1"/>
        <v>51.873582186040409</v>
      </c>
      <c r="T27">
        <f t="shared" si="2"/>
        <v>6.7902360296271218E-3</v>
      </c>
      <c r="U27" s="18">
        <f t="shared" si="3"/>
        <v>4.6107128181351442E-5</v>
      </c>
      <c r="V27" s="19">
        <f t="shared" si="0"/>
        <v>-1.4879870966943258</v>
      </c>
    </row>
    <row r="28" spans="1:22" x14ac:dyDescent="0.35">
      <c r="S28" s="12">
        <f t="shared" si="1"/>
        <v>56.568542494923825</v>
      </c>
      <c r="T28">
        <f t="shared" si="2"/>
        <v>7.4048048969306141E-3</v>
      </c>
      <c r="U28" s="18">
        <f t="shared" si="3"/>
        <v>5.4830885024279924E-5</v>
      </c>
      <c r="V28" s="19">
        <f t="shared" si="0"/>
        <v>-1.742953002176904</v>
      </c>
    </row>
    <row r="29" spans="1:22" x14ac:dyDescent="0.35">
      <c r="S29" s="12">
        <f t="shared" si="1"/>
        <v>61.68843301631766</v>
      </c>
      <c r="T29">
        <f t="shared" si="2"/>
        <v>8.0749969989804011E-3</v>
      </c>
      <c r="U29" s="18">
        <f t="shared" si="3"/>
        <v>6.5205222220378339E-5</v>
      </c>
      <c r="V29" s="19">
        <f t="shared" si="0"/>
        <v>-2.0367296819848946</v>
      </c>
    </row>
    <row r="30" spans="1:22" x14ac:dyDescent="0.35">
      <c r="S30" s="12">
        <f t="shared" si="1"/>
        <v>67.271713220297201</v>
      </c>
      <c r="T30">
        <f t="shared" si="2"/>
        <v>8.8058466686368776E-3</v>
      </c>
      <c r="U30" s="18">
        <f t="shared" si="3"/>
        <v>7.7542434477267176E-5</v>
      </c>
      <c r="V30" s="19">
        <f t="shared" si="0"/>
        <v>-2.3736312113916256</v>
      </c>
    </row>
    <row r="31" spans="1:22" x14ac:dyDescent="0.35">
      <c r="S31" s="12">
        <f t="shared" si="1"/>
        <v>73.360323456373735</v>
      </c>
      <c r="T31">
        <f t="shared" si="2"/>
        <v>9.6028438848131132E-3</v>
      </c>
      <c r="U31" s="18">
        <f t="shared" si="3"/>
        <v>9.2213902050402276E-5</v>
      </c>
      <c r="V31" s="19">
        <f t="shared" si="0"/>
        <v>-2.7579777959658003</v>
      </c>
    </row>
    <row r="32" spans="1:22" x14ac:dyDescent="0.35">
      <c r="S32" s="12">
        <f t="shared" si="1"/>
        <v>80.000000000000043</v>
      </c>
      <c r="T32">
        <f t="shared" si="2"/>
        <v>1.0471975511965983E-2</v>
      </c>
      <c r="U32" s="18">
        <f t="shared" si="3"/>
        <v>1.0966126897573617E-4</v>
      </c>
      <c r="V32" s="19">
        <f t="shared" si="0"/>
        <v>-3.1939557980266216</v>
      </c>
    </row>
    <row r="33" spans="19:22" x14ac:dyDescent="0.35">
      <c r="S33" s="12">
        <f t="shared" si="1"/>
        <v>87.240618613220661</v>
      </c>
      <c r="T33">
        <f t="shared" si="2"/>
        <v>1.1419770272080123E-2</v>
      </c>
      <c r="U33" s="18">
        <f t="shared" si="3"/>
        <v>1.3040973581750876E-4</v>
      </c>
      <c r="V33" s="19">
        <f t="shared" si="0"/>
        <v>-3.6854580179737439</v>
      </c>
    </row>
    <row r="34" spans="19:22" x14ac:dyDescent="0.35">
      <c r="S34" s="12">
        <f t="shared" si="1"/>
        <v>95.136569200217735</v>
      </c>
      <c r="T34">
        <f t="shared" si="2"/>
        <v>1.2453347786964209E-2</v>
      </c>
      <c r="U34" s="18">
        <f t="shared" si="3"/>
        <v>1.5508386681116297E-4</v>
      </c>
      <c r="V34" s="19">
        <f t="shared" si="0"/>
        <v>-4.235913984214406</v>
      </c>
    </row>
    <row r="35" spans="19:22" x14ac:dyDescent="0.35">
      <c r="S35" s="12">
        <f t="shared" si="1"/>
        <v>103.74716437208083</v>
      </c>
      <c r="T35">
        <f t="shared" si="2"/>
        <v>1.3580472059254244E-2</v>
      </c>
      <c r="U35" s="18">
        <f t="shared" si="3"/>
        <v>1.8442638685813666E-4</v>
      </c>
      <c r="V35" s="19">
        <f t="shared" si="0"/>
        <v>-4.8481235811766936</v>
      </c>
    </row>
    <row r="36" spans="19:22" x14ac:dyDescent="0.35">
      <c r="S36" s="12">
        <f t="shared" si="1"/>
        <v>113.13708498984766</v>
      </c>
      <c r="T36">
        <f t="shared" si="2"/>
        <v>1.4809609793861228E-2</v>
      </c>
      <c r="U36" s="18">
        <f t="shared" si="3"/>
        <v>2.1932053367116719E-4</v>
      </c>
      <c r="V36" s="19">
        <f t="shared" si="0"/>
        <v>-5.5241095615486415</v>
      </c>
    </row>
    <row r="37" spans="19:22" x14ac:dyDescent="0.35">
      <c r="S37" s="12">
        <f t="shared" si="1"/>
        <v>123.37686603263533</v>
      </c>
      <c r="T37">
        <f t="shared" si="2"/>
        <v>1.6149993997960802E-2</v>
      </c>
      <c r="U37" s="18">
        <f t="shared" si="3"/>
        <v>2.6081663716050852E-4</v>
      </c>
      <c r="V37" s="19">
        <f t="shared" si="0"/>
        <v>-6.2650045169003619</v>
      </c>
    </row>
    <row r="38" spans="19:22" x14ac:dyDescent="0.35">
      <c r="S38" s="12">
        <f t="shared" si="1"/>
        <v>134.5434264405944</v>
      </c>
      <c r="T38">
        <f t="shared" si="2"/>
        <v>1.7611693337273755E-2</v>
      </c>
      <c r="U38" s="18">
        <f t="shared" si="3"/>
        <v>3.1016372507992407E-4</v>
      </c>
      <c r="V38" s="19">
        <f t="shared" si="0"/>
        <v>-7.0709852768003714</v>
      </c>
    </row>
    <row r="39" spans="19:22" x14ac:dyDescent="0.35">
      <c r="S39" s="12">
        <f t="shared" si="1"/>
        <v>146.72064691274747</v>
      </c>
      <c r="T39">
        <f t="shared" si="2"/>
        <v>1.9205687769626226E-2</v>
      </c>
      <c r="U39" s="18">
        <f t="shared" si="3"/>
        <v>3.6884710479787779E-4</v>
      </c>
      <c r="V39" s="19">
        <f t="shared" si="0"/>
        <v>-7.9412626525953698</v>
      </c>
    </row>
    <row r="40" spans="19:22" x14ac:dyDescent="0.35">
      <c r="S40" s="12">
        <f t="shared" si="1"/>
        <v>160.00000000000009</v>
      </c>
      <c r="T40">
        <f t="shared" si="2"/>
        <v>2.0943951023931966E-2</v>
      </c>
      <c r="U40" s="18">
        <f t="shared" si="3"/>
        <v>4.3863305030903126E-4</v>
      </c>
      <c r="V40" s="19">
        <f t="shared" ref="V40:V71" si="4">10*LOG10(($B$15+$B$16+$B$17)^2 + ( $B$15*$B$17*U40 - ($B$16*($B$15+$B$17) + 4*$B$15*$B$17) )*U40 )  - 10*LOG10( (1+$Z$2+$Z$3)^2 + ( 1*$Z$3*U40 - ($Z$2*(1+$Z$3) + 4*1*$Z$3) )*U40)</f>
        <v>-8.8741277954405291</v>
      </c>
    </row>
    <row r="41" spans="19:22" x14ac:dyDescent="0.35">
      <c r="S41" s="12">
        <f t="shared" si="1"/>
        <v>174.48123722644132</v>
      </c>
      <c r="T41">
        <f t="shared" si="2"/>
        <v>2.2839540544160247E-2</v>
      </c>
      <c r="U41" s="18">
        <f t="shared" si="3"/>
        <v>5.21621936570839E-4</v>
      </c>
      <c r="V41" s="19">
        <f t="shared" si="4"/>
        <v>-9.8670495301871455</v>
      </c>
    </row>
    <row r="42" spans="19:22" x14ac:dyDescent="0.35">
      <c r="S42" s="12">
        <f t="shared" si="1"/>
        <v>190.27313840043547</v>
      </c>
      <c r="T42">
        <f t="shared" si="2"/>
        <v>2.4906695573928418E-2</v>
      </c>
      <c r="U42" s="18">
        <f t="shared" si="3"/>
        <v>6.2031141623890697E-4</v>
      </c>
      <c r="V42" s="19">
        <f t="shared" si="4"/>
        <v>-10.916811268667566</v>
      </c>
    </row>
    <row r="43" spans="19:22" x14ac:dyDescent="0.35">
      <c r="S43" s="12">
        <f t="shared" si="1"/>
        <v>207.49432874416166</v>
      </c>
      <c r="T43">
        <f t="shared" si="2"/>
        <v>2.7160944118508487E-2</v>
      </c>
      <c r="U43" s="18">
        <f t="shared" si="3"/>
        <v>7.3767153434037692E-4</v>
      </c>
      <c r="V43" s="19">
        <f t="shared" si="4"/>
        <v>-12.019672561589971</v>
      </c>
    </row>
    <row r="44" spans="19:22" x14ac:dyDescent="0.35">
      <c r="S44" s="12">
        <f t="shared" si="1"/>
        <v>226.27416997969533</v>
      </c>
      <c r="T44">
        <f t="shared" si="2"/>
        <v>2.9619219587722456E-2</v>
      </c>
      <c r="U44" s="18">
        <f t="shared" si="3"/>
        <v>8.7723403318817894E-4</v>
      </c>
      <c r="V44" s="19">
        <f t="shared" si="4"/>
        <v>-13.171539450290105</v>
      </c>
    </row>
    <row r="45" spans="19:22" x14ac:dyDescent="0.35">
      <c r="S45" s="12">
        <f t="shared" si="1"/>
        <v>246.75373206527067</v>
      </c>
      <c r="T45">
        <f t="shared" si="2"/>
        <v>3.2299987995921604E-2</v>
      </c>
      <c r="U45" s="18">
        <f t="shared" si="3"/>
        <v>1.0431985233238144E-3</v>
      </c>
      <c r="V45" s="19">
        <f t="shared" si="4"/>
        <v>-14.368129289929151</v>
      </c>
    </row>
    <row r="46" spans="19:22" x14ac:dyDescent="0.35">
      <c r="S46" s="12">
        <f t="shared" si="1"/>
        <v>269.0868528811888</v>
      </c>
      <c r="T46">
        <f t="shared" si="2"/>
        <v>3.522338667454751E-2</v>
      </c>
      <c r="U46" s="18">
        <f t="shared" si="3"/>
        <v>1.2405586987833408E-3</v>
      </c>
      <c r="V46" s="19">
        <f t="shared" si="4"/>
        <v>-15.605118909516136</v>
      </c>
    </row>
    <row r="47" spans="19:22" x14ac:dyDescent="0.35">
      <c r="S47" s="12">
        <f t="shared" si="1"/>
        <v>293.44129382549494</v>
      </c>
      <c r="T47">
        <f t="shared" si="2"/>
        <v>3.8411375539252453E-2</v>
      </c>
      <c r="U47" s="18">
        <f t="shared" si="3"/>
        <v>1.4752523710047933E-3</v>
      </c>
      <c r="V47" s="19">
        <f t="shared" si="4"/>
        <v>-16.87826893474346</v>
      </c>
    </row>
    <row r="48" spans="19:22" x14ac:dyDescent="0.35">
      <c r="S48" s="12">
        <f t="shared" si="1"/>
        <v>320.00000000000017</v>
      </c>
      <c r="T48">
        <f t="shared" si="2"/>
        <v>4.1887902047863933E-2</v>
      </c>
      <c r="U48" s="18">
        <f t="shared" si="3"/>
        <v>1.7543398022833016E-3</v>
      </c>
      <c r="V48" s="19">
        <f t="shared" si="4"/>
        <v>-18.183520994221617</v>
      </c>
    </row>
    <row r="49" spans="19:22" x14ac:dyDescent="0.35">
      <c r="S49" s="12">
        <f t="shared" si="1"/>
        <v>348.96247445288265</v>
      </c>
      <c r="T49">
        <f t="shared" si="2"/>
        <v>4.5679081088320493E-2</v>
      </c>
      <c r="U49" s="18">
        <f t="shared" si="3"/>
        <v>2.086215656838644E-3</v>
      </c>
      <c r="V49" s="19">
        <f t="shared" si="4"/>
        <v>-19.517067779552946</v>
      </c>
    </row>
    <row r="50" spans="19:22" x14ac:dyDescent="0.35">
      <c r="S50" s="12">
        <f t="shared" si="1"/>
        <v>380.54627680087094</v>
      </c>
      <c r="T50">
        <f t="shared" si="2"/>
        <v>4.9813391147856836E-2</v>
      </c>
      <c r="U50" s="18">
        <f t="shared" si="3"/>
        <v>2.480860878702511E-3</v>
      </c>
      <c r="V50" s="19">
        <f t="shared" si="4"/>
        <v>-20.875398256404274</v>
      </c>
    </row>
    <row r="51" spans="19:22" x14ac:dyDescent="0.35">
      <c r="S51" s="12">
        <f t="shared" si="1"/>
        <v>414.98865748832333</v>
      </c>
      <c r="T51">
        <f t="shared" si="2"/>
        <v>5.4321888237016974E-2</v>
      </c>
      <c r="U51" s="18">
        <f t="shared" si="3"/>
        <v>2.9501419780689321E-3</v>
      </c>
      <c r="V51" s="19">
        <f t="shared" si="4"/>
        <v>-22.255321702765457</v>
      </c>
    </row>
    <row r="52" spans="19:22" x14ac:dyDescent="0.35">
      <c r="S52" s="12">
        <f t="shared" si="1"/>
        <v>452.54833995939066</v>
      </c>
      <c r="T52">
        <f t="shared" si="2"/>
        <v>5.9238439175444912E-2</v>
      </c>
      <c r="U52" s="18">
        <f t="shared" si="3"/>
        <v>3.5081665932037319E-3</v>
      </c>
      <c r="V52" s="19">
        <f t="shared" si="4"/>
        <v>-23.653974821565505</v>
      </c>
    </row>
    <row r="53" spans="19:22" x14ac:dyDescent="0.35">
      <c r="S53" s="12">
        <f t="shared" si="1"/>
        <v>493.50746413054134</v>
      </c>
      <c r="T53">
        <f t="shared" si="2"/>
        <v>6.4599975991843209E-2</v>
      </c>
      <c r="U53" s="18">
        <f t="shared" si="3"/>
        <v>4.1717058301361928E-3</v>
      </c>
      <c r="V53" s="19">
        <f t="shared" si="4"/>
        <v>-25.068816150960764</v>
      </c>
    </row>
    <row r="54" spans="19:22" x14ac:dyDescent="0.35">
      <c r="S54" s="12">
        <f t="shared" si="1"/>
        <v>538.17370576237761</v>
      </c>
      <c r="T54">
        <f t="shared" si="2"/>
        <v>7.0446773349095021E-2</v>
      </c>
      <c r="U54" s="18">
        <f t="shared" si="3"/>
        <v>4.9606958092482363E-3</v>
      </c>
      <c r="V54" s="19">
        <f t="shared" si="4"/>
        <v>-26.49761159550264</v>
      </c>
    </row>
    <row r="55" spans="19:22" x14ac:dyDescent="0.35">
      <c r="S55" s="12">
        <f t="shared" si="1"/>
        <v>586.88258765098988</v>
      </c>
      <c r="T55">
        <f t="shared" si="2"/>
        <v>7.6822751078504906E-2</v>
      </c>
      <c r="U55" s="18">
        <f t="shared" si="3"/>
        <v>5.8988331144610179E-3</v>
      </c>
      <c r="V55" s="19">
        <f t="shared" si="4"/>
        <v>-27.938414309607253</v>
      </c>
    </row>
    <row r="56" spans="19:22" x14ac:dyDescent="0.35">
      <c r="S56" s="12">
        <f t="shared" si="1"/>
        <v>640.00000000000034</v>
      </c>
      <c r="T56">
        <f t="shared" si="2"/>
        <v>8.3775804095727865E-2</v>
      </c>
      <c r="U56" s="18">
        <f t="shared" si="3"/>
        <v>7.0142815009913307E-3</v>
      </c>
      <c r="V56" s="19">
        <f t="shared" si="4"/>
        <v>-29.389541516700064</v>
      </c>
    </row>
    <row r="57" spans="19:22" x14ac:dyDescent="0.35">
      <c r="S57" s="12">
        <f t="shared" si="1"/>
        <v>697.92494890576529</v>
      </c>
      <c r="T57">
        <f t="shared" si="2"/>
        <v>9.1358162176640986E-2</v>
      </c>
      <c r="U57" s="18">
        <f t="shared" si="3"/>
        <v>8.3405103315877388E-3</v>
      </c>
      <c r="V57" s="19">
        <f t="shared" si="4"/>
        <v>-30.849550230173278</v>
      </c>
    </row>
    <row r="58" spans="19:22" x14ac:dyDescent="0.35">
      <c r="S58" s="12">
        <f t="shared" si="1"/>
        <v>761.09255360174188</v>
      </c>
      <c r="T58">
        <f t="shared" si="2"/>
        <v>9.9626782295713673E-2</v>
      </c>
      <c r="U58" s="18">
        <f t="shared" si="3"/>
        <v>9.9172888441105677E-3</v>
      </c>
      <c r="V58" s="19">
        <f t="shared" si="4"/>
        <v>-32.317213303413176</v>
      </c>
    </row>
    <row r="59" spans="19:22" x14ac:dyDescent="0.35">
      <c r="S59" s="12">
        <f t="shared" si="1"/>
        <v>829.97731497664665</v>
      </c>
      <c r="T59">
        <f t="shared" si="2"/>
        <v>0.10864377647403395</v>
      </c>
      <c r="U59" s="18">
        <f t="shared" si="3"/>
        <v>1.1791864574584964E-2</v>
      </c>
      <c r="V59" s="19">
        <f t="shared" si="4"/>
        <v>-33.791496794806243</v>
      </c>
    </row>
    <row r="60" spans="19:22" x14ac:dyDescent="0.35">
      <c r="S60" s="12">
        <f t="shared" si="1"/>
        <v>905.09667991878132</v>
      </c>
      <c r="T60">
        <f t="shared" si="2"/>
        <v>0.11847687835088982</v>
      </c>
      <c r="U60" s="18">
        <f t="shared" si="3"/>
        <v>1.4020359139969256E-2</v>
      </c>
      <c r="V60" s="19">
        <f t="shared" si="4"/>
        <v>-35.271539290905309</v>
      </c>
    </row>
    <row r="61" spans="19:22" x14ac:dyDescent="0.35">
      <c r="S61" s="12">
        <f t="shared" si="1"/>
        <v>987.01492826108267</v>
      </c>
      <c r="T61">
        <f t="shared" si="2"/>
        <v>0.12919995198368642</v>
      </c>
      <c r="U61" s="18">
        <f t="shared" si="3"/>
        <v>1.6669420191011579E-2</v>
      </c>
      <c r="V61" s="19">
        <f t="shared" si="4"/>
        <v>-36.75663357790738</v>
      </c>
    </row>
    <row r="62" spans="19:22" x14ac:dyDescent="0.35">
      <c r="S62" s="12">
        <f t="shared" si="1"/>
        <v>1076.3474115247552</v>
      </c>
      <c r="T62">
        <f t="shared" si="2"/>
        <v>0.14089354669819004</v>
      </c>
      <c r="U62" s="18">
        <f t="shared" si="3"/>
        <v>1.9818174734081057E-2</v>
      </c>
      <c r="V62" s="19">
        <f t="shared" si="4"/>
        <v>-38.246210874959132</v>
      </c>
    </row>
    <row r="63" spans="19:22" x14ac:dyDescent="0.35">
      <c r="S63" s="12">
        <f t="shared" ref="S63:S95" si="5">S62*2^(1/8)</f>
        <v>1173.7651753019798</v>
      </c>
      <c r="T63">
        <f t="shared" si="2"/>
        <v>0.15364550215700981</v>
      </c>
      <c r="U63" s="18">
        <f t="shared" ref="U63:U95" si="6">4*SIN(T63/2)^2</f>
        <v>2.3560536225731808E-2</v>
      </c>
      <c r="V63" s="19">
        <f t="shared" si="4"/>
        <v>-39.739827728444496</v>
      </c>
    </row>
    <row r="64" spans="19:22" x14ac:dyDescent="0.35">
      <c r="S64" s="12">
        <f t="shared" si="5"/>
        <v>1280.0000000000007</v>
      </c>
      <c r="T64">
        <f t="shared" si="2"/>
        <v>0.16755160819145573</v>
      </c>
      <c r="U64" s="18">
        <f t="shared" si="6"/>
        <v>2.8007925858990177E-2</v>
      </c>
      <c r="V64" s="19">
        <f t="shared" si="4"/>
        <v>-41.237155601384273</v>
      </c>
    </row>
    <row r="65" spans="19:22" x14ac:dyDescent="0.35">
      <c r="S65" s="12">
        <f t="shared" si="5"/>
        <v>1395.8498978115306</v>
      </c>
      <c r="T65">
        <f t="shared" si="2"/>
        <v>0.18271632435328197</v>
      </c>
      <c r="U65" s="18">
        <f t="shared" si="6"/>
        <v>3.3292477213759629E-2</v>
      </c>
      <c r="V65" s="19">
        <f t="shared" si="4"/>
        <v>-42.737973165607841</v>
      </c>
    </row>
    <row r="66" spans="19:22" x14ac:dyDescent="0.35">
      <c r="S66" s="12">
        <f t="shared" si="5"/>
        <v>1522.1851072034838</v>
      </c>
      <c r="T66">
        <f t="shared" si="2"/>
        <v>0.19925356459142735</v>
      </c>
      <c r="U66" s="18">
        <f t="shared" si="6"/>
        <v>3.9570802758424749E-2</v>
      </c>
      <c r="V66" s="19">
        <f t="shared" si="4"/>
        <v>-44.242161308148525</v>
      </c>
    </row>
    <row r="67" spans="19:22" x14ac:dyDescent="0.35">
      <c r="S67" s="12">
        <f t="shared" si="5"/>
        <v>1659.9546299532933</v>
      </c>
      <c r="T67">
        <f t="shared" si="2"/>
        <v>0.2172875529480679</v>
      </c>
      <c r="U67" s="18">
        <f t="shared" si="6"/>
        <v>4.7028410228194505E-2</v>
      </c>
      <c r="V67" s="19">
        <f t="shared" si="4"/>
        <v>-45.749700891565254</v>
      </c>
    </row>
    <row r="68" spans="19:22" x14ac:dyDescent="0.35">
      <c r="S68" s="12">
        <f t="shared" si="5"/>
        <v>1810.1933598375626</v>
      </c>
      <c r="T68">
        <f t="shared" si="2"/>
        <v>0.23695375670177965</v>
      </c>
      <c r="U68" s="18">
        <f t="shared" si="6"/>
        <v>5.588486608946331E-2</v>
      </c>
      <c r="V68" s="19">
        <f t="shared" si="4"/>
        <v>-47.260673357182448</v>
      </c>
    </row>
    <row r="69" spans="19:22" x14ac:dyDescent="0.35">
      <c r="S69" s="12">
        <f t="shared" si="5"/>
        <v>1974.0298565221653</v>
      </c>
      <c r="T69">
        <f t="shared" si="2"/>
        <v>0.25839990396737283</v>
      </c>
      <c r="U69" s="18">
        <f t="shared" si="6"/>
        <v>6.6399811194541802E-2</v>
      </c>
      <c r="V69" s="19">
        <f t="shared" si="4"/>
        <v>-48.77526432940293</v>
      </c>
    </row>
    <row r="70" spans="19:22" x14ac:dyDescent="0.35">
      <c r="S70" s="12">
        <f t="shared" si="5"/>
        <v>2152.6948230495104</v>
      </c>
      <c r="T70">
        <f t="shared" si="2"/>
        <v>0.28178709339638008</v>
      </c>
      <c r="U70" s="18">
        <f t="shared" si="6"/>
        <v>7.8879938886533649E-2</v>
      </c>
      <c r="V70" s="19">
        <f t="shared" si="4"/>
        <v>-50.293770469377634</v>
      </c>
    </row>
    <row r="71" spans="19:22" x14ac:dyDescent="0.35">
      <c r="S71" s="12">
        <f t="shared" si="5"/>
        <v>2347.5303506039595</v>
      </c>
      <c r="T71">
        <f t="shared" si="2"/>
        <v>0.30729100431401962</v>
      </c>
      <c r="U71" s="18">
        <f t="shared" si="6"/>
        <v>9.3687046035683216E-2</v>
      </c>
      <c r="V71" s="19">
        <f t="shared" si="4"/>
        <v>-51.816609940913828</v>
      </c>
    </row>
    <row r="72" spans="19:22" x14ac:dyDescent="0.35">
      <c r="S72" s="12">
        <f t="shared" si="5"/>
        <v>2560.0000000000014</v>
      </c>
      <c r="T72">
        <f t="shared" si="2"/>
        <v>0.33510321638291146</v>
      </c>
      <c r="U72" s="18">
        <f t="shared" si="6"/>
        <v>0.11124725952503801</v>
      </c>
      <c r="V72" s="19">
        <f t="shared" ref="V72:V96" si="7">10*LOG10(($B$15+$B$16+$B$17)^2 + ( $B$15*$B$17*U72 - ($B$16*($B$15+$B$17) + 4*$B$15*$B$17) )*U72 )  - 10*LOG10( (1+$Z$2+$Z$3)^2 + ( 1*$Z$3*U72 - ($Z$2*(1+$Z$3) + 4*1*$Z$3) )*U72)</f>
        <v>-53.344336996914741</v>
      </c>
    </row>
    <row r="73" spans="19:22" x14ac:dyDescent="0.35">
      <c r="S73" s="12">
        <f t="shared" si="5"/>
        <v>2791.6997956230612</v>
      </c>
      <c r="T73">
        <f t="shared" si="2"/>
        <v>0.36543264870656395</v>
      </c>
      <c r="U73" s="18">
        <f t="shared" si="6"/>
        <v>0.1320615198160098</v>
      </c>
      <c r="V73" s="19">
        <f t="shared" si="7"/>
        <v>-54.877661380826247</v>
      </c>
    </row>
    <row r="74" spans="19:22" x14ac:dyDescent="0.35">
      <c r="S74" s="12">
        <f t="shared" si="5"/>
        <v>3044.3702144069675</v>
      </c>
      <c r="T74">
        <f t="shared" ref="T74:T96" si="8">2*PI()*S74/$B$6</f>
        <v>0.39850712918285469</v>
      </c>
      <c r="U74" s="18">
        <f t="shared" si="6"/>
        <v>0.15671736260275285</v>
      </c>
      <c r="V74" s="19">
        <f t="shared" si="7"/>
        <v>-56.417473479415804</v>
      </c>
    </row>
    <row r="75" spans="19:22" x14ac:dyDescent="0.35">
      <c r="S75" s="12">
        <f t="shared" si="5"/>
        <v>3319.9092599065866</v>
      </c>
      <c r="T75">
        <f t="shared" si="8"/>
        <v>0.43457510589613579</v>
      </c>
      <c r="U75" s="18">
        <f t="shared" si="6"/>
        <v>0.18590196954418667</v>
      </c>
      <c r="V75" s="19">
        <f t="shared" si="7"/>
        <v>-57.964876482658632</v>
      </c>
    </row>
    <row r="76" spans="19:22" x14ac:dyDescent="0.35">
      <c r="S76" s="12">
        <f t="shared" si="5"/>
        <v>3620.3867196751253</v>
      </c>
      <c r="T76">
        <f t="shared" si="8"/>
        <v>0.4739075134035593</v>
      </c>
      <c r="U76" s="18">
        <f t="shared" si="6"/>
        <v>0.22041634610001598</v>
      </c>
      <c r="V76" s="19">
        <f t="shared" si="7"/>
        <v>-59.52122723587992</v>
      </c>
    </row>
    <row r="77" spans="19:22" x14ac:dyDescent="0.35">
      <c r="S77" s="12">
        <f t="shared" si="5"/>
        <v>3948.0597130443307</v>
      </c>
      <c r="T77">
        <f t="shared" si="8"/>
        <v>0.51679980793474567</v>
      </c>
      <c r="U77" s="18">
        <f t="shared" si="6"/>
        <v>0.26119030985149644</v>
      </c>
      <c r="V77" s="19">
        <f t="shared" si="7"/>
        <v>-61.088188056630194</v>
      </c>
    </row>
    <row r="78" spans="19:22" x14ac:dyDescent="0.35">
      <c r="S78" s="12">
        <f t="shared" si="5"/>
        <v>4305.3896460990209</v>
      </c>
      <c r="T78">
        <f t="shared" si="8"/>
        <v>0.56357418679276017</v>
      </c>
      <c r="U78" s="18">
        <f t="shared" si="6"/>
        <v>0.30929771078739127</v>
      </c>
      <c r="V78" s="19">
        <f t="shared" si="7"/>
        <v>-62.667792606340015</v>
      </c>
    </row>
    <row r="79" spans="19:22" x14ac:dyDescent="0.35">
      <c r="S79" s="12">
        <f t="shared" si="5"/>
        <v>4695.060701207919</v>
      </c>
      <c r="T79">
        <f t="shared" si="8"/>
        <v>0.61458200862803924</v>
      </c>
      <c r="U79" s="18">
        <f t="shared" si="6"/>
        <v>0.36597092154784067</v>
      </c>
      <c r="V79" s="19">
        <f t="shared" si="7"/>
        <v>-64.262530065103689</v>
      </c>
    </row>
    <row r="80" spans="19:22" x14ac:dyDescent="0.35">
      <c r="S80" s="12">
        <f t="shared" si="5"/>
        <v>5120.0000000000027</v>
      </c>
      <c r="T80">
        <f t="shared" si="8"/>
        <v>0.67020643276582292</v>
      </c>
      <c r="U80" s="18">
        <f t="shared" si="6"/>
        <v>0.43261308534832082</v>
      </c>
      <c r="V80" s="19">
        <f t="shared" si="7"/>
        <v>-65.875453528875084</v>
      </c>
    </row>
    <row r="81" spans="19:22" x14ac:dyDescent="0.35">
      <c r="S81" s="12">
        <f t="shared" si="5"/>
        <v>5583.3995912461223</v>
      </c>
      <c r="T81">
        <f t="shared" si="8"/>
        <v>0.73086529741312789</v>
      </c>
      <c r="U81" s="18">
        <f t="shared" si="6"/>
        <v>0.51080583424792492</v>
      </c>
      <c r="V81" s="19">
        <f t="shared" si="7"/>
        <v>-67.51032100467161</v>
      </c>
    </row>
    <row r="82" spans="19:22" x14ac:dyDescent="0.35">
      <c r="S82" s="12">
        <f t="shared" si="5"/>
        <v>6088.7404288139351</v>
      </c>
      <c r="T82">
        <f t="shared" si="8"/>
        <v>0.79701425836570938</v>
      </c>
      <c r="U82" s="18">
        <f t="shared" si="6"/>
        <v>0.60230911866984871</v>
      </c>
      <c r="V82" s="19">
        <f t="shared" si="7"/>
        <v>-69.171781063377523</v>
      </c>
    </row>
    <row r="83" spans="19:22" x14ac:dyDescent="0.35">
      <c r="S83" s="12">
        <f t="shared" si="5"/>
        <v>6639.8185198131732</v>
      </c>
      <c r="T83">
        <f t="shared" si="8"/>
        <v>0.86915021179227159</v>
      </c>
      <c r="U83" s="18">
        <f t="shared" si="6"/>
        <v>0.70904833589633898</v>
      </c>
      <c r="V83" s="19">
        <f t="shared" si="7"/>
        <v>-70.865620856290406</v>
      </c>
    </row>
    <row r="84" spans="19:22" x14ac:dyDescent="0.35">
      <c r="S84" s="12">
        <f t="shared" si="5"/>
        <v>7240.7734393502506</v>
      </c>
      <c r="T84">
        <f t="shared" si="8"/>
        <v>0.9478150268071186</v>
      </c>
      <c r="U84" s="18">
        <f t="shared" si="6"/>
        <v>0.83308201877198185</v>
      </c>
      <c r="V84" s="19">
        <f t="shared" si="7"/>
        <v>-72.599103065057506</v>
      </c>
    </row>
    <row r="85" spans="19:22" x14ac:dyDescent="0.35">
      <c r="S85" s="12">
        <f t="shared" si="5"/>
        <v>7896.1194260886614</v>
      </c>
      <c r="T85">
        <f t="shared" si="8"/>
        <v>1.0335996158694913</v>
      </c>
      <c r="U85" s="18">
        <f t="shared" si="6"/>
        <v>0.9765408614456651</v>
      </c>
      <c r="V85" s="19">
        <f t="shared" si="7"/>
        <v>-74.381432642170722</v>
      </c>
    </row>
    <row r="86" spans="19:22" x14ac:dyDescent="0.35">
      <c r="S86" s="12">
        <f t="shared" si="5"/>
        <v>8610.7792921980417</v>
      </c>
      <c r="T86">
        <f t="shared" si="8"/>
        <v>1.1271483735855203</v>
      </c>
      <c r="U86" s="18">
        <f t="shared" si="6"/>
        <v>1.1415257692512444</v>
      </c>
      <c r="V86" s="19">
        <f t="shared" si="7"/>
        <v>-76.224417929049494</v>
      </c>
    </row>
    <row r="87" spans="19:22" x14ac:dyDescent="0.35">
      <c r="S87" s="12">
        <f t="shared" si="5"/>
        <v>9390.121402415838</v>
      </c>
      <c r="T87">
        <f t="shared" si="8"/>
        <v>1.2291640172560785</v>
      </c>
      <c r="U87" s="18">
        <f t="shared" si="6"/>
        <v>1.3299489707727872</v>
      </c>
      <c r="V87" s="19">
        <f t="shared" si="7"/>
        <v>-78.14343151703703</v>
      </c>
    </row>
    <row r="88" spans="19:22" x14ac:dyDescent="0.35">
      <c r="S88" s="12">
        <f t="shared" si="5"/>
        <v>10240.000000000005</v>
      </c>
      <c r="T88">
        <f t="shared" si="8"/>
        <v>1.3404128655316458</v>
      </c>
      <c r="U88" s="18">
        <f t="shared" si="6"/>
        <v>1.54329825977869</v>
      </c>
      <c r="V88" s="19">
        <f t="shared" si="7"/>
        <v>-80.158849097777846</v>
      </c>
    </row>
    <row r="89" spans="19:22" x14ac:dyDescent="0.35">
      <c r="S89" s="12">
        <f t="shared" si="5"/>
        <v>11166.799182492245</v>
      </c>
      <c r="T89">
        <f t="shared" si="8"/>
        <v>1.4617305948262558</v>
      </c>
      <c r="U89" s="18">
        <f t="shared" si="6"/>
        <v>1.7823007366899815</v>
      </c>
      <c r="V89" s="19">
        <f t="shared" si="7"/>
        <v>-82.298280914479406</v>
      </c>
    </row>
    <row r="90" spans="19:22" x14ac:dyDescent="0.35">
      <c r="S90" s="12">
        <f t="shared" si="5"/>
        <v>12177.48085762787</v>
      </c>
      <c r="T90">
        <f t="shared" si="8"/>
        <v>1.5940285167314188</v>
      </c>
      <c r="U90" s="18">
        <f t="shared" si="6"/>
        <v>2.0464602002465448</v>
      </c>
      <c r="V90" s="19">
        <f t="shared" si="7"/>
        <v>-84.600179800220786</v>
      </c>
    </row>
    <row r="91" spans="19:22" x14ac:dyDescent="0.35">
      <c r="S91" s="12">
        <f t="shared" si="5"/>
        <v>13279.637039626346</v>
      </c>
      <c r="T91">
        <f t="shared" si="8"/>
        <v>1.7383004235845432</v>
      </c>
      <c r="U91" s="18">
        <f t="shared" si="6"/>
        <v>2.3334438009479883</v>
      </c>
      <c r="V91" s="19">
        <f t="shared" si="7"/>
        <v>-87.119977864791622</v>
      </c>
    </row>
    <row r="92" spans="19:22" x14ac:dyDescent="0.35">
      <c r="S92" s="12">
        <f t="shared" si="5"/>
        <v>14481.546878700501</v>
      </c>
      <c r="T92">
        <f t="shared" si="8"/>
        <v>1.8956300536142372</v>
      </c>
      <c r="U92" s="18">
        <f t="shared" si="6"/>
        <v>2.6383024250867271</v>
      </c>
      <c r="V92" s="19">
        <f t="shared" si="7"/>
        <v>-89.941202342224543</v>
      </c>
    </row>
    <row r="93" spans="19:22" x14ac:dyDescent="0.35">
      <c r="S93" s="12">
        <f t="shared" si="5"/>
        <v>15792.238852177323</v>
      </c>
      <c r="T93">
        <f t="shared" si="8"/>
        <v>2.0671992317389827</v>
      </c>
      <c r="U93" s="18">
        <f t="shared" si="6"/>
        <v>2.952531391709619</v>
      </c>
      <c r="V93" s="19">
        <f t="shared" si="7"/>
        <v>-93.197307782389245</v>
      </c>
    </row>
    <row r="94" spans="19:22" x14ac:dyDescent="0.35">
      <c r="S94" s="12">
        <f t="shared" si="5"/>
        <v>17221.558584396083</v>
      </c>
      <c r="T94">
        <f t="shared" si="8"/>
        <v>2.2542967471710407</v>
      </c>
      <c r="U94" s="18">
        <f t="shared" si="6"/>
        <v>3.2630219951403325</v>
      </c>
      <c r="V94" s="19">
        <f t="shared" si="7"/>
        <v>-97.119478058360798</v>
      </c>
    </row>
    <row r="95" spans="19:22" x14ac:dyDescent="0.35">
      <c r="S95" s="12">
        <f t="shared" si="5"/>
        <v>18780.242804831676</v>
      </c>
      <c r="T95">
        <f t="shared" si="8"/>
        <v>2.458328034512157</v>
      </c>
      <c r="U95" s="18">
        <f t="shared" si="6"/>
        <v>3.5510316182315527</v>
      </c>
      <c r="V95" s="19">
        <f t="shared" si="7"/>
        <v>-102.15889093165289</v>
      </c>
    </row>
    <row r="96" spans="19:22" x14ac:dyDescent="0.35">
      <c r="S96" s="12">
        <f>S95*2^(1/8)</f>
        <v>20480.000000000011</v>
      </c>
      <c r="T96">
        <f t="shared" si="8"/>
        <v>2.6808257310632917</v>
      </c>
      <c r="U96" s="18">
        <f>4*SIN(T96/2)^2</f>
        <v>3.7914235204788267</v>
      </c>
      <c r="V96" s="19">
        <f t="shared" si="7"/>
        <v>-109.38681636459185</v>
      </c>
    </row>
    <row r="97" spans="19:22" x14ac:dyDescent="0.35">
      <c r="S97" s="12"/>
      <c r="U97" s="18"/>
      <c r="V97" s="19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3" max="25" width="10.54296875" bestFit="1" customWidth="1"/>
    <col min="26" max="27" width="17.54296875" bestFit="1" customWidth="1"/>
    <col min="28" max="29" width="18.54296875" bestFit="1" customWidth="1"/>
    <col min="30" max="30" width="12.7265625" customWidth="1"/>
    <col min="31" max="31" width="10.54296875" bestFit="1" customWidth="1"/>
    <col min="32" max="33" width="17.54296875" bestFit="1" customWidth="1"/>
    <col min="36" max="37" width="17.54296875" bestFit="1" customWidth="1"/>
  </cols>
  <sheetData>
    <row r="1" spans="1:37" x14ac:dyDescent="0.35">
      <c r="A1" t="s">
        <v>63</v>
      </c>
      <c r="Y1" t="s">
        <v>19</v>
      </c>
      <c r="Z1" s="22">
        <f>1+AB5</f>
        <v>1.0652630961100258</v>
      </c>
      <c r="AA1" t="s">
        <v>22</v>
      </c>
      <c r="AB1" s="31">
        <f>(SIN($AB$4))/2</f>
        <v>6.5263096110025787E-2</v>
      </c>
      <c r="AE1" t="s">
        <v>42</v>
      </c>
      <c r="AF1" s="22">
        <f>Z2^2-4*Z1*Z3</f>
        <v>-5.111126056639792E-2</v>
      </c>
      <c r="AG1" s="22">
        <f>B16^2-4*B15*B17</f>
        <v>1.5013487039571359E-2</v>
      </c>
      <c r="AI1" t="s">
        <v>48</v>
      </c>
      <c r="AJ1" s="22">
        <f>IF(AF1&lt;0,AF5,AF2)</f>
        <v>0.93070422226605409</v>
      </c>
      <c r="AK1" s="22">
        <f>IF(AF1&lt;0,AF5,AF2)</f>
        <v>0.93070422226605409</v>
      </c>
    </row>
    <row r="2" spans="1:37" x14ac:dyDescent="0.35">
      <c r="A2" s="1" t="s">
        <v>56</v>
      </c>
      <c r="B2" s="6"/>
      <c r="Y2" t="s">
        <v>20</v>
      </c>
      <c r="Z2" s="22">
        <f>-2*COS(AB4)</f>
        <v>-1.9828897227476208</v>
      </c>
      <c r="AA2" t="s">
        <v>23</v>
      </c>
      <c r="AB2" s="31">
        <v>0</v>
      </c>
      <c r="AE2" t="s">
        <v>43</v>
      </c>
      <c r="AF2" s="22" t="e">
        <f>(-Z2-SQRT(AF1))/2*Z1</f>
        <v>#NUM!</v>
      </c>
      <c r="AG2" s="22">
        <f>(-B16-SQRT(AG1))/2*B15</f>
        <v>-3.7533717598928398E-3</v>
      </c>
      <c r="AJ2" s="22">
        <f>IF(AF1&lt;0,AF6,0)</f>
        <v>0.10611369034991951</v>
      </c>
      <c r="AK2" s="22">
        <f>IF(AF1&lt;0,-AF6,0)</f>
        <v>-0.10611369034991951</v>
      </c>
    </row>
    <row r="3" spans="1:37" x14ac:dyDescent="0.35">
      <c r="A3" t="s">
        <v>50</v>
      </c>
      <c r="B3" s="26">
        <v>1000</v>
      </c>
      <c r="C3" t="s">
        <v>4</v>
      </c>
      <c r="Y3" t="s">
        <v>21</v>
      </c>
      <c r="Z3" s="22">
        <f>1-AB5</f>
        <v>0.93473690388997421</v>
      </c>
      <c r="AA3" t="s">
        <v>24</v>
      </c>
      <c r="AB3" s="31">
        <f>-(SIN($AB$4))/2</f>
        <v>-6.5263096110025787E-2</v>
      </c>
      <c r="AE3" t="s">
        <v>44</v>
      </c>
      <c r="AF3" s="22" t="e">
        <f>(-Z2-SQRT(AF1))/2*Z1</f>
        <v>#NUM!</v>
      </c>
      <c r="AG3" s="22">
        <f>(-B16-SQRT(AG1))/2*B15</f>
        <v>-3.7533717598928398E-3</v>
      </c>
    </row>
    <row r="4" spans="1:37" x14ac:dyDescent="0.35">
      <c r="A4" t="s">
        <v>51</v>
      </c>
      <c r="B4" s="26">
        <v>1</v>
      </c>
      <c r="AA4" t="s">
        <v>52</v>
      </c>
      <c r="AB4">
        <f>2*PI()*$B$3/($B$6)</f>
        <v>0.1308996938995747</v>
      </c>
      <c r="AF4" s="22"/>
      <c r="AG4" s="22"/>
      <c r="AI4" t="s">
        <v>49</v>
      </c>
      <c r="AJ4" s="22">
        <f>IF(AG1&lt;0,AG5,AG2)</f>
        <v>-3.7533717598928398E-3</v>
      </c>
      <c r="AK4" s="22">
        <f>IF(AG1&lt;0,AG5,AG2)</f>
        <v>-3.7533717598928398E-3</v>
      </c>
    </row>
    <row r="5" spans="1:37" x14ac:dyDescent="0.35">
      <c r="AA5" t="s">
        <v>53</v>
      </c>
      <c r="AB5">
        <f>SIN($B$22)/(2*$B$4)</f>
        <v>6.5263096110025787E-2</v>
      </c>
      <c r="AE5" t="s">
        <v>45</v>
      </c>
      <c r="AF5" s="22">
        <f>-Z2/(2*Z1)</f>
        <v>0.93070422226605409</v>
      </c>
      <c r="AG5" s="22">
        <f>-B16/(2*B15)</f>
        <v>0</v>
      </c>
      <c r="AH5" s="1"/>
      <c r="AJ5" s="22">
        <f>IF(AG1&lt;0,AG6,0)</f>
        <v>0</v>
      </c>
      <c r="AK5" s="22">
        <f>IF(AG1&lt;0,-AG6,0)</f>
        <v>0</v>
      </c>
    </row>
    <row r="6" spans="1:37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E6" t="s">
        <v>46</v>
      </c>
      <c r="AF6" s="22">
        <f>SQRT(-AF1)/(2*Z1)</f>
        <v>0.10611369034991951</v>
      </c>
      <c r="AG6" s="22" t="e">
        <f>SQRT(-AG1)/(2*B15)</f>
        <v>#NUM!</v>
      </c>
    </row>
    <row r="7" spans="1:37" x14ac:dyDescent="0.35">
      <c r="B7" s="6"/>
      <c r="S7" s="7" t="s">
        <v>4</v>
      </c>
      <c r="V7" s="17" t="s">
        <v>14</v>
      </c>
      <c r="W7" s="16"/>
      <c r="X7" s="16"/>
      <c r="Y7" s="16"/>
      <c r="AE7" t="s">
        <v>47</v>
      </c>
      <c r="AF7" s="22">
        <f>SQRT(AF5^2+AF6^2)</f>
        <v>0.93673393480942035</v>
      </c>
    </row>
    <row r="8" spans="1:37" x14ac:dyDescent="0.35">
      <c r="B8" s="6"/>
      <c r="S8" s="9">
        <v>10</v>
      </c>
      <c r="T8">
        <f>2*PI()*S8/$B$6</f>
        <v>1.308996938995747E-3</v>
      </c>
      <c r="U8" s="18">
        <f>4*SIN(T8/2)^2</f>
        <v>1.7134727416344432E-6</v>
      </c>
      <c r="V8" s="19">
        <f t="shared" ref="V8:V39" si="0">10*LOG10(($B$15+$B$16+$B$17)^2 + ( $B$15*$B$17*U8 - ($B$16*($B$15+$B$17) + 4*$B$15*$B$17) )*U8 )  - 10*LOG10( (1+$Z$2+$Z$3)^2 + ( 1*$Z$3*U8 - ($Z$2*(1+$Z$3) + 4*1*$Z$3) )*U8)</f>
        <v>-49.549161098306008</v>
      </c>
      <c r="Y8" s="27"/>
      <c r="AD8" s="27"/>
      <c r="AF8" s="22"/>
    </row>
    <row r="9" spans="1:37" x14ac:dyDescent="0.35">
      <c r="A9" s="33" t="s">
        <v>54</v>
      </c>
      <c r="B9" s="33"/>
      <c r="C9" s="33"/>
      <c r="D9" s="1"/>
      <c r="S9" s="12">
        <f>S8*2^(1/8)</f>
        <v>10.905077326652577</v>
      </c>
      <c r="T9">
        <f>2*PI()*S9/$B$6</f>
        <v>1.427471284010015E-3</v>
      </c>
      <c r="U9" s="18">
        <f>4*SIN(T9/2)^2</f>
        <v>2.0376739206635231E-6</v>
      </c>
      <c r="V9" s="19">
        <f t="shared" si="0"/>
        <v>-48.796645733997138</v>
      </c>
      <c r="AD9" s="27"/>
      <c r="AF9" s="22">
        <f>IF(AF1&lt;0,AF7,AF2)</f>
        <v>0.93673393480942035</v>
      </c>
    </row>
    <row r="10" spans="1:37" x14ac:dyDescent="0.35">
      <c r="A10" s="33" t="s">
        <v>55</v>
      </c>
      <c r="B10" s="33"/>
      <c r="C10" s="33"/>
      <c r="S10" s="12">
        <f t="shared" ref="S10:S73" si="1">S9*2^(1/8)</f>
        <v>11.892071150027212</v>
      </c>
      <c r="T10">
        <f t="shared" ref="T10:T73" si="2">2*PI()*S10/$B$6</f>
        <v>1.5566684733705255E-3</v>
      </c>
      <c r="U10" s="18">
        <f t="shared" ref="U10:U73" si="3">4*SIN(T10/2)^2</f>
        <v>2.4232162466541498E-6</v>
      </c>
      <c r="V10" s="19">
        <f t="shared" si="0"/>
        <v>-48.044141650560363</v>
      </c>
      <c r="AD10" s="27"/>
    </row>
    <row r="11" spans="1:37" x14ac:dyDescent="0.35">
      <c r="A11" t="s">
        <v>19</v>
      </c>
      <c r="B11" s="23">
        <v>1</v>
      </c>
      <c r="S11" s="12">
        <f t="shared" si="1"/>
        <v>12.968395546510099</v>
      </c>
      <c r="T11">
        <f t="shared" si="2"/>
        <v>1.6975590074067798E-3</v>
      </c>
      <c r="U11" s="18">
        <f t="shared" si="3"/>
        <v>2.8817058916085552E-6</v>
      </c>
      <c r="V11" s="19">
        <f t="shared" si="0"/>
        <v>-47.291650982179192</v>
      </c>
      <c r="AD11" s="27"/>
    </row>
    <row r="12" spans="1:37" x14ac:dyDescent="0.35">
      <c r="A12" t="s">
        <v>20</v>
      </c>
      <c r="B12" s="20">
        <f>-(-2*COS(B22))/B24</f>
        <v>1.8614084445321082</v>
      </c>
      <c r="S12" s="12">
        <f t="shared" si="1"/>
        <v>14.142135623730953</v>
      </c>
      <c r="T12">
        <f t="shared" si="2"/>
        <v>1.8512012242326529E-3</v>
      </c>
      <c r="U12" s="18">
        <f t="shared" si="3"/>
        <v>3.4269449939373591E-6</v>
      </c>
      <c r="V12" s="19">
        <f t="shared" si="0"/>
        <v>-46.539176266741407</v>
      </c>
      <c r="AD12" s="27"/>
    </row>
    <row r="13" spans="1:37" ht="15" customHeight="1" x14ac:dyDescent="0.35">
      <c r="A13" t="s">
        <v>21</v>
      </c>
      <c r="B13" s="20">
        <f>-(1-B23)/B24</f>
        <v>-0.87747046462353917</v>
      </c>
      <c r="C13" s="25"/>
      <c r="S13" s="12">
        <f t="shared" si="1"/>
        <v>15.422108254079411</v>
      </c>
      <c r="T13">
        <f t="shared" si="2"/>
        <v>2.0187492497450994E-3</v>
      </c>
      <c r="U13" s="18">
        <f t="shared" si="3"/>
        <v>4.0753471493077851E-6</v>
      </c>
      <c r="V13" s="19">
        <f t="shared" si="0"/>
        <v>-45.78672052218198</v>
      </c>
      <c r="AD13" s="27"/>
    </row>
    <row r="14" spans="1:37" ht="15" customHeight="1" x14ac:dyDescent="0.35">
      <c r="B14" s="21"/>
      <c r="C14" s="25"/>
      <c r="S14" s="12">
        <f t="shared" si="1"/>
        <v>16.817928305074293</v>
      </c>
      <c r="T14">
        <f t="shared" si="2"/>
        <v>2.2014616671592185E-3</v>
      </c>
      <c r="U14" s="18">
        <f t="shared" si="3"/>
        <v>4.8464315146453117E-6</v>
      </c>
      <c r="V14" s="19">
        <f t="shared" si="0"/>
        <v>-45.034287337253744</v>
      </c>
      <c r="AD14" s="27"/>
    </row>
    <row r="15" spans="1:37" x14ac:dyDescent="0.35">
      <c r="A15" t="s">
        <v>22</v>
      </c>
      <c r="B15" s="20">
        <f>((SIN($B$22))/2)/$B$24</f>
        <v>6.1264767688230401E-2</v>
      </c>
      <c r="S15" s="12">
        <f t="shared" si="1"/>
        <v>18.340080864093427</v>
      </c>
      <c r="T15">
        <f t="shared" si="2"/>
        <v>2.4007109712032774E-3</v>
      </c>
      <c r="U15" s="18">
        <f t="shared" si="3"/>
        <v>5.7634103991787035E-6</v>
      </c>
      <c r="V15" s="19">
        <f t="shared" si="0"/>
        <v>-44.281880979448658</v>
      </c>
      <c r="AD15" s="27"/>
    </row>
    <row r="16" spans="1:37" x14ac:dyDescent="0.35">
      <c r="A16" t="s">
        <v>23</v>
      </c>
      <c r="B16" s="20">
        <v>0</v>
      </c>
      <c r="S16" s="12">
        <f t="shared" si="1"/>
        <v>20.000000000000004</v>
      </c>
      <c r="T16">
        <f t="shared" si="2"/>
        <v>2.6179938779914949E-3</v>
      </c>
      <c r="U16" s="18">
        <f t="shared" si="3"/>
        <v>6.8538880305489414E-6</v>
      </c>
      <c r="V16" s="19">
        <f t="shared" si="0"/>
        <v>-43.529506523304782</v>
      </c>
      <c r="AD16" s="27"/>
    </row>
    <row r="17" spans="1:30" x14ac:dyDescent="0.35">
      <c r="A17" t="s">
        <v>24</v>
      </c>
      <c r="B17" s="20">
        <f>-((SIN($B$22))/2)/$B$24</f>
        <v>-6.1264767688230401E-2</v>
      </c>
      <c r="S17" s="12">
        <f t="shared" si="1"/>
        <v>21.810154653305158</v>
      </c>
      <c r="T17">
        <f t="shared" si="2"/>
        <v>2.8549425680200304E-3</v>
      </c>
      <c r="U17" s="18">
        <f t="shared" si="3"/>
        <v>8.1506915305390883E-6</v>
      </c>
      <c r="V17" s="19">
        <f t="shared" si="0"/>
        <v>-42.777170002942142</v>
      </c>
      <c r="AD17" s="27"/>
    </row>
    <row r="18" spans="1:30" x14ac:dyDescent="0.35">
      <c r="S18" s="12">
        <f t="shared" si="1"/>
        <v>23.784142300054427</v>
      </c>
      <c r="T18">
        <f t="shared" si="2"/>
        <v>3.1133369467410514E-3</v>
      </c>
      <c r="U18" s="18">
        <f t="shared" si="3"/>
        <v>9.6928591146396239E-6</v>
      </c>
      <c r="V18" s="19">
        <f t="shared" si="0"/>
        <v>-42.024878593391861</v>
      </c>
      <c r="AD18" s="27"/>
    </row>
    <row r="19" spans="1:30" x14ac:dyDescent="0.35">
      <c r="A19" t="s">
        <v>34</v>
      </c>
      <c r="B19" s="24" t="str">
        <f>IF(ABS(AF9)&lt;1,"Stable","Not stable")</f>
        <v>Stable</v>
      </c>
      <c r="S19" s="12">
        <f t="shared" si="1"/>
        <v>25.936791093020201</v>
      </c>
      <c r="T19">
        <f t="shared" si="2"/>
        <v>3.39511801481356E-3</v>
      </c>
      <c r="U19" s="18">
        <f t="shared" si="3"/>
        <v>1.1526815262205378E-5</v>
      </c>
      <c r="V19" s="19">
        <f t="shared" si="0"/>
        <v>-41.272640826138797</v>
      </c>
      <c r="AD19" s="27"/>
    </row>
    <row r="20" spans="1:30" x14ac:dyDescent="0.35">
      <c r="S20" s="12">
        <f t="shared" si="1"/>
        <v>28.284271247461909</v>
      </c>
      <c r="T20">
        <f t="shared" si="2"/>
        <v>3.7024024484653062E-3</v>
      </c>
      <c r="U20" s="18">
        <f t="shared" si="3"/>
        <v>1.3707768231797451E-5</v>
      </c>
      <c r="V20" s="19">
        <f t="shared" si="0"/>
        <v>-40.520466845311326</v>
      </c>
      <c r="AD20" s="27"/>
    </row>
    <row r="21" spans="1:30" x14ac:dyDescent="0.35">
      <c r="A21" s="1"/>
      <c r="S21" s="12">
        <f t="shared" si="1"/>
        <v>30.844216508158826</v>
      </c>
      <c r="T21">
        <f t="shared" si="2"/>
        <v>4.0374984994901997E-3</v>
      </c>
      <c r="U21" s="18">
        <f t="shared" si="3"/>
        <v>1.6301371988776759E-5</v>
      </c>
      <c r="V21" s="19">
        <f t="shared" si="0"/>
        <v>-39.768368712153482</v>
      </c>
      <c r="AD21" s="27"/>
    </row>
    <row r="22" spans="1:30" x14ac:dyDescent="0.35">
      <c r="A22" t="s">
        <v>52</v>
      </c>
      <c r="B22">
        <f>2*PI()*B3/B6</f>
        <v>0.1308996938995747</v>
      </c>
      <c r="S22" s="12">
        <f t="shared" si="1"/>
        <v>33.635856610148593</v>
      </c>
      <c r="T22">
        <f t="shared" si="2"/>
        <v>4.4029233343184379E-3</v>
      </c>
      <c r="U22" s="18">
        <f t="shared" si="3"/>
        <v>1.9385702570682833E-5</v>
      </c>
      <c r="V22" s="19">
        <f t="shared" si="0"/>
        <v>-39.01636076683566</v>
      </c>
      <c r="AD22" s="27"/>
    </row>
    <row r="23" spans="1:30" x14ac:dyDescent="0.35">
      <c r="A23" t="s">
        <v>53</v>
      </c>
      <c r="B23">
        <f>SIN(B22)/(2*B4)</f>
        <v>6.5263096110025787E-2</v>
      </c>
      <c r="S23" s="12">
        <f t="shared" si="1"/>
        <v>36.68016172818686</v>
      </c>
      <c r="T23">
        <f t="shared" si="2"/>
        <v>4.8014219424065549E-3</v>
      </c>
      <c r="U23" s="18">
        <f t="shared" si="3"/>
        <v>2.3053608379815388E-5</v>
      </c>
      <c r="V23" s="19">
        <f t="shared" si="0"/>
        <v>-38.26446005834169</v>
      </c>
      <c r="AD23" s="27"/>
    </row>
    <row r="24" spans="1:30" x14ac:dyDescent="0.35">
      <c r="A24" t="s">
        <v>19</v>
      </c>
      <c r="B24">
        <f>1+B23</f>
        <v>1.0652630961100258</v>
      </c>
      <c r="S24" s="12">
        <f t="shared" si="1"/>
        <v>40.000000000000014</v>
      </c>
      <c r="T24">
        <f t="shared" si="2"/>
        <v>5.2359877559829907E-3</v>
      </c>
      <c r="U24" s="18">
        <f t="shared" si="3"/>
        <v>2.7415505146414638E-5</v>
      </c>
      <c r="V24" s="19">
        <f t="shared" si="0"/>
        <v>-37.512686855154897</v>
      </c>
      <c r="AD24" s="27"/>
    </row>
    <row r="25" spans="1:30" x14ac:dyDescent="0.35">
      <c r="S25" s="12">
        <f t="shared" si="1"/>
        <v>43.620309306610324</v>
      </c>
      <c r="T25">
        <f t="shared" si="2"/>
        <v>5.7098851360400608E-3</v>
      </c>
      <c r="U25" s="18">
        <f t="shared" si="3"/>
        <v>3.2602699688383923E-5</v>
      </c>
      <c r="V25" s="19">
        <f t="shared" si="0"/>
        <v>-36.761065251808816</v>
      </c>
      <c r="AD25" s="27"/>
    </row>
    <row r="26" spans="1:30" x14ac:dyDescent="0.35">
      <c r="S26" s="12">
        <f t="shared" si="1"/>
        <v>47.568284600108861</v>
      </c>
      <c r="T26">
        <f t="shared" si="2"/>
        <v>6.2266738934821028E-3</v>
      </c>
      <c r="U26" s="18">
        <f t="shared" si="3"/>
        <v>3.8771342507040672E-5</v>
      </c>
      <c r="V26" s="19">
        <f t="shared" si="0"/>
        <v>-36.009623889126473</v>
      </c>
      <c r="AD26" s="27"/>
    </row>
    <row r="27" spans="1:30" x14ac:dyDescent="0.35">
      <c r="S27" s="12">
        <f t="shared" si="1"/>
        <v>51.873582186040409</v>
      </c>
      <c r="T27">
        <f t="shared" si="2"/>
        <v>6.7902360296271218E-3</v>
      </c>
      <c r="U27" s="18">
        <f t="shared" si="3"/>
        <v>4.6107128181351442E-5</v>
      </c>
      <c r="V27" s="19">
        <f t="shared" si="0"/>
        <v>-35.258396809215398</v>
      </c>
      <c r="AD27" s="27"/>
    </row>
    <row r="28" spans="1:30" x14ac:dyDescent="0.35">
      <c r="S28" s="12">
        <f t="shared" si="1"/>
        <v>56.568542494923825</v>
      </c>
      <c r="T28">
        <f t="shared" si="2"/>
        <v>7.4048048969306141E-3</v>
      </c>
      <c r="U28" s="18">
        <f t="shared" si="3"/>
        <v>5.4830885024279924E-5</v>
      </c>
      <c r="V28" s="19">
        <f t="shared" si="0"/>
        <v>-34.507424470088694</v>
      </c>
      <c r="AD28" s="27"/>
    </row>
    <row r="29" spans="1:30" x14ac:dyDescent="0.35">
      <c r="S29" s="12">
        <f t="shared" si="1"/>
        <v>61.68843301631766</v>
      </c>
      <c r="T29">
        <f t="shared" si="2"/>
        <v>8.0749969989804011E-3</v>
      </c>
      <c r="U29" s="18">
        <f t="shared" si="3"/>
        <v>6.5205222220378339E-5</v>
      </c>
      <c r="V29" s="19">
        <f t="shared" si="0"/>
        <v>-33.756754949231194</v>
      </c>
      <c r="AD29" s="27"/>
    </row>
    <row r="30" spans="1:30" x14ac:dyDescent="0.35">
      <c r="S30" s="12">
        <f t="shared" si="1"/>
        <v>67.271713220297201</v>
      </c>
      <c r="T30">
        <f t="shared" si="2"/>
        <v>8.8058466686368776E-3</v>
      </c>
      <c r="U30" s="18">
        <f t="shared" si="3"/>
        <v>7.7542434477267176E-5</v>
      </c>
      <c r="V30" s="19">
        <f t="shared" si="0"/>
        <v>-33.006445370613719</v>
      </c>
      <c r="AD30" s="27"/>
    </row>
    <row r="31" spans="1:30" x14ac:dyDescent="0.35">
      <c r="S31" s="12">
        <f t="shared" si="1"/>
        <v>73.360323456373735</v>
      </c>
      <c r="T31">
        <f t="shared" si="2"/>
        <v>9.6028438848131132E-3</v>
      </c>
      <c r="U31" s="18">
        <f t="shared" si="3"/>
        <v>9.2213902050402276E-5</v>
      </c>
      <c r="V31" s="19">
        <f t="shared" si="0"/>
        <v>-32.256563595676269</v>
      </c>
      <c r="AD31" s="27"/>
    </row>
    <row r="32" spans="1:30" x14ac:dyDescent="0.35">
      <c r="S32" s="12">
        <f t="shared" si="1"/>
        <v>80.000000000000043</v>
      </c>
      <c r="T32">
        <f t="shared" si="2"/>
        <v>1.0471975511965983E-2</v>
      </c>
      <c r="U32" s="18">
        <f t="shared" si="3"/>
        <v>1.0966126897573617E-4</v>
      </c>
      <c r="V32" s="19">
        <f t="shared" si="0"/>
        <v>-31.507190225748833</v>
      </c>
      <c r="AD32" s="27"/>
    </row>
    <row r="33" spans="19:30" x14ac:dyDescent="0.35">
      <c r="S33" s="12">
        <f t="shared" si="1"/>
        <v>87.240618613220661</v>
      </c>
      <c r="T33">
        <f t="shared" si="2"/>
        <v>1.1419770272080123E-2</v>
      </c>
      <c r="U33" s="18">
        <f t="shared" si="3"/>
        <v>1.3040973581750876E-4</v>
      </c>
      <c r="V33" s="19">
        <f t="shared" si="0"/>
        <v>-30.758420971349739</v>
      </c>
      <c r="AD33" s="27"/>
    </row>
    <row r="34" spans="19:30" x14ac:dyDescent="0.35">
      <c r="S34" s="12">
        <f t="shared" si="1"/>
        <v>95.136569200217735</v>
      </c>
      <c r="T34">
        <f t="shared" si="2"/>
        <v>1.2453347786964209E-2</v>
      </c>
      <c r="U34" s="18">
        <f t="shared" si="3"/>
        <v>1.5508386681116297E-4</v>
      </c>
      <c r="V34" s="19">
        <f t="shared" si="0"/>
        <v>-30.010369452872595</v>
      </c>
      <c r="AD34" s="27"/>
    </row>
    <row r="35" spans="19:30" x14ac:dyDescent="0.35">
      <c r="S35" s="12">
        <f t="shared" si="1"/>
        <v>103.74716437208083</v>
      </c>
      <c r="T35">
        <f t="shared" si="2"/>
        <v>1.3580472059254244E-2</v>
      </c>
      <c r="U35" s="18">
        <f t="shared" si="3"/>
        <v>1.8442638685813666E-4</v>
      </c>
      <c r="V35" s="19">
        <f t="shared" si="0"/>
        <v>-29.263170507390264</v>
      </c>
      <c r="AD35" s="27"/>
    </row>
    <row r="36" spans="19:30" x14ac:dyDescent="0.35">
      <c r="S36" s="12">
        <f t="shared" si="1"/>
        <v>113.13708498984766</v>
      </c>
      <c r="T36">
        <f t="shared" si="2"/>
        <v>1.4809609793861228E-2</v>
      </c>
      <c r="U36" s="18">
        <f t="shared" si="3"/>
        <v>2.1932053367116719E-4</v>
      </c>
      <c r="V36" s="19">
        <f t="shared" si="0"/>
        <v>-28.516984087659779</v>
      </c>
      <c r="AD36" s="27"/>
    </row>
    <row r="37" spans="19:30" x14ac:dyDescent="0.35">
      <c r="S37" s="12">
        <f t="shared" si="1"/>
        <v>123.37686603263533</v>
      </c>
      <c r="T37">
        <f t="shared" si="2"/>
        <v>1.6149993997960802E-2</v>
      </c>
      <c r="U37" s="18">
        <f t="shared" si="3"/>
        <v>2.6081663716050852E-4</v>
      </c>
      <c r="V37" s="19">
        <f t="shared" si="0"/>
        <v>-27.77199985181149</v>
      </c>
      <c r="AD37" s="27"/>
    </row>
    <row r="38" spans="19:30" x14ac:dyDescent="0.35">
      <c r="S38" s="12">
        <f t="shared" si="1"/>
        <v>134.5434264405944</v>
      </c>
      <c r="T38">
        <f t="shared" si="2"/>
        <v>1.7611693337273755E-2</v>
      </c>
      <c r="U38" s="18">
        <f t="shared" si="3"/>
        <v>3.1016372507992407E-4</v>
      </c>
      <c r="V38" s="19">
        <f t="shared" si="0"/>
        <v>-27.028442555420398</v>
      </c>
      <c r="AD38" s="27"/>
    </row>
    <row r="39" spans="19:30" x14ac:dyDescent="0.35">
      <c r="S39" s="12">
        <f t="shared" si="1"/>
        <v>146.72064691274747</v>
      </c>
      <c r="T39">
        <f t="shared" si="2"/>
        <v>1.9205687769626226E-2</v>
      </c>
      <c r="U39" s="18">
        <f t="shared" si="3"/>
        <v>3.6884710479787779E-4</v>
      </c>
      <c r="V39" s="19">
        <f t="shared" si="0"/>
        <v>-26.286578371260909</v>
      </c>
      <c r="AD39" s="27"/>
    </row>
    <row r="40" spans="19:30" x14ac:dyDescent="0.35">
      <c r="S40" s="12">
        <f t="shared" si="1"/>
        <v>160.00000000000009</v>
      </c>
      <c r="T40">
        <f t="shared" si="2"/>
        <v>2.0943951023931966E-2</v>
      </c>
      <c r="U40" s="18">
        <f t="shared" si="3"/>
        <v>4.3863305030903126E-4</v>
      </c>
      <c r="V40" s="19">
        <f t="shared" ref="V40:V71" si="4">10*LOG10(($B$15+$B$16+$B$17)^2 + ( $B$15*$B$17*U40 - ($B$16*($B$15+$B$17) + 4*$B$15*$B$17) )*U40 )  - 10*LOG10( (1+$Z$2+$Z$3)^2 + ( 1*$Z$3*U40 - ($Z$2*(1+$Z$3) + 4*1*$Z$3) )*U40)</f>
        <v>-25.546722275324598</v>
      </c>
      <c r="AD40" s="27"/>
    </row>
    <row r="41" spans="19:30" x14ac:dyDescent="0.35">
      <c r="S41" s="12">
        <f t="shared" si="1"/>
        <v>174.48123722644132</v>
      </c>
      <c r="T41">
        <f t="shared" si="2"/>
        <v>2.2839540544160247E-2</v>
      </c>
      <c r="U41" s="18">
        <f t="shared" si="3"/>
        <v>5.21621936570839E-4</v>
      </c>
      <c r="V41" s="19">
        <f t="shared" si="4"/>
        <v>-24.809246649514556</v>
      </c>
      <c r="AD41" s="27"/>
    </row>
    <row r="42" spans="19:30" x14ac:dyDescent="0.35">
      <c r="S42" s="12">
        <f t="shared" si="1"/>
        <v>190.27313840043547</v>
      </c>
      <c r="T42">
        <f t="shared" si="2"/>
        <v>2.4906695573928418E-2</v>
      </c>
      <c r="U42" s="18">
        <f t="shared" si="3"/>
        <v>6.2031141623890697E-4</v>
      </c>
      <c r="V42" s="19">
        <f t="shared" si="4"/>
        <v>-24.074591260144349</v>
      </c>
      <c r="AD42" s="27"/>
    </row>
    <row r="43" spans="19:30" x14ac:dyDescent="0.35">
      <c r="S43" s="12">
        <f t="shared" si="1"/>
        <v>207.49432874416166</v>
      </c>
      <c r="T43">
        <f t="shared" si="2"/>
        <v>2.7160944118508487E-2</v>
      </c>
      <c r="U43" s="18">
        <f t="shared" si="3"/>
        <v>7.3767153434037692E-4</v>
      </c>
      <c r="V43" s="19">
        <f t="shared" si="4"/>
        <v>-23.34327477453656</v>
      </c>
      <c r="AD43" s="27"/>
    </row>
    <row r="44" spans="19:30" x14ac:dyDescent="0.35">
      <c r="S44" s="12">
        <f t="shared" si="1"/>
        <v>226.27416997969533</v>
      </c>
      <c r="T44">
        <f t="shared" si="2"/>
        <v>2.9619219587722456E-2</v>
      </c>
      <c r="U44" s="18">
        <f t="shared" si="3"/>
        <v>8.7723403318817894E-4</v>
      </c>
      <c r="V44" s="19">
        <f t="shared" si="4"/>
        <v>-22.615907972228214</v>
      </c>
      <c r="AD44" s="27"/>
    </row>
    <row r="45" spans="19:30" x14ac:dyDescent="0.35">
      <c r="S45" s="12">
        <f t="shared" si="1"/>
        <v>246.75373206527067</v>
      </c>
      <c r="T45">
        <f t="shared" si="2"/>
        <v>3.2299987995921604E-2</v>
      </c>
      <c r="U45" s="18">
        <f t="shared" si="3"/>
        <v>1.0431985233238144E-3</v>
      </c>
      <c r="V45" s="19">
        <f t="shared" si="4"/>
        <v>-21.893208787894917</v>
      </c>
      <c r="AD45" s="27"/>
    </row>
    <row r="46" spans="19:30" x14ac:dyDescent="0.35">
      <c r="S46" s="12">
        <f t="shared" si="1"/>
        <v>269.0868528811888</v>
      </c>
      <c r="T46">
        <f t="shared" si="2"/>
        <v>3.522338667454751E-2</v>
      </c>
      <c r="U46" s="18">
        <f t="shared" si="3"/>
        <v>1.2405586987833408E-3</v>
      </c>
      <c r="V46" s="19">
        <f t="shared" si="4"/>
        <v>-21.176019283940221</v>
      </c>
      <c r="AD46" s="27"/>
    </row>
    <row r="47" spans="19:30" x14ac:dyDescent="0.35">
      <c r="S47" s="12">
        <f t="shared" si="1"/>
        <v>293.44129382549494</v>
      </c>
      <c r="T47">
        <f t="shared" si="2"/>
        <v>3.8411375539252453E-2</v>
      </c>
      <c r="U47" s="18">
        <f t="shared" si="3"/>
        <v>1.4752523710047933E-3</v>
      </c>
      <c r="V47" s="19">
        <f t="shared" si="4"/>
        <v>-20.465324583865112</v>
      </c>
      <c r="AD47" s="27"/>
    </row>
    <row r="48" spans="19:30" x14ac:dyDescent="0.35">
      <c r="S48" s="12">
        <f t="shared" si="1"/>
        <v>320.00000000000017</v>
      </c>
      <c r="T48">
        <f t="shared" si="2"/>
        <v>4.1887902047863933E-2</v>
      </c>
      <c r="U48" s="18">
        <f t="shared" si="3"/>
        <v>1.7543398022833016E-3</v>
      </c>
      <c r="V48" s="19">
        <f t="shared" si="4"/>
        <v>-19.762273693326009</v>
      </c>
      <c r="AD48" s="27"/>
    </row>
    <row r="49" spans="19:30" x14ac:dyDescent="0.35">
      <c r="S49" s="12">
        <f t="shared" si="1"/>
        <v>348.96247445288265</v>
      </c>
      <c r="T49">
        <f t="shared" si="2"/>
        <v>4.5679081088320493E-2</v>
      </c>
      <c r="U49" s="18">
        <f t="shared" si="3"/>
        <v>2.086215656838644E-3</v>
      </c>
      <c r="V49" s="19">
        <f t="shared" si="4"/>
        <v>-19.068201982895925</v>
      </c>
      <c r="AD49" s="27"/>
    </row>
    <row r="50" spans="19:30" x14ac:dyDescent="0.35">
      <c r="S50" s="12">
        <f t="shared" si="1"/>
        <v>380.54627680087094</v>
      </c>
      <c r="T50">
        <f t="shared" si="2"/>
        <v>4.9813391147856836E-2</v>
      </c>
      <c r="U50" s="18">
        <f t="shared" si="3"/>
        <v>2.480860878702511E-3</v>
      </c>
      <c r="V50" s="19">
        <f t="shared" si="4"/>
        <v>-18.384654892774996</v>
      </c>
      <c r="AD50" s="27"/>
    </row>
    <row r="51" spans="19:30" x14ac:dyDescent="0.35">
      <c r="S51" s="12">
        <f t="shared" si="1"/>
        <v>414.98865748832333</v>
      </c>
      <c r="T51">
        <f t="shared" si="2"/>
        <v>5.4321888237016974E-2</v>
      </c>
      <c r="U51" s="18">
        <f t="shared" si="3"/>
        <v>2.9501419780689321E-3</v>
      </c>
      <c r="V51" s="19">
        <f t="shared" si="4"/>
        <v>-17.713412133553884</v>
      </c>
      <c r="AD51" s="27"/>
    </row>
    <row r="52" spans="19:30" x14ac:dyDescent="0.35">
      <c r="S52" s="12">
        <f t="shared" si="1"/>
        <v>452.54833995939066</v>
      </c>
      <c r="T52">
        <f t="shared" si="2"/>
        <v>5.9238439175444912E-2</v>
      </c>
      <c r="U52" s="18">
        <f t="shared" si="3"/>
        <v>3.5081665932037319E-3</v>
      </c>
      <c r="V52" s="19">
        <f t="shared" si="4"/>
        <v>-17.05651129056622</v>
      </c>
      <c r="AD52" s="27"/>
    </row>
    <row r="53" spans="19:30" x14ac:dyDescent="0.35">
      <c r="S53" s="12">
        <f t="shared" si="1"/>
        <v>493.50746413054134</v>
      </c>
      <c r="T53">
        <f t="shared" si="2"/>
        <v>6.4599975991843209E-2</v>
      </c>
      <c r="U53" s="18">
        <f t="shared" si="3"/>
        <v>4.1717058301361928E-3</v>
      </c>
      <c r="V53" s="19">
        <f t="shared" si="4"/>
        <v>-16.416269292120393</v>
      </c>
      <c r="AD53" s="27"/>
    </row>
    <row r="54" spans="19:30" x14ac:dyDescent="0.35">
      <c r="S54" s="12">
        <f t="shared" si="1"/>
        <v>538.17370576237761</v>
      </c>
      <c r="T54">
        <f t="shared" si="2"/>
        <v>7.0446773349095021E-2</v>
      </c>
      <c r="U54" s="18">
        <f t="shared" si="3"/>
        <v>4.9606958092482363E-3</v>
      </c>
      <c r="V54" s="19">
        <f t="shared" si="4"/>
        <v>-15.79529968761852</v>
      </c>
      <c r="AD54" s="27"/>
    </row>
    <row r="55" spans="19:30" x14ac:dyDescent="0.35">
      <c r="S55" s="12">
        <f t="shared" si="1"/>
        <v>586.88258765098988</v>
      </c>
      <c r="T55">
        <f t="shared" si="2"/>
        <v>7.6822751078504906E-2</v>
      </c>
      <c r="U55" s="18">
        <f t="shared" si="3"/>
        <v>5.8988331144610179E-3</v>
      </c>
      <c r="V55" s="19">
        <f t="shared" si="4"/>
        <v>-15.19652313542845</v>
      </c>
      <c r="AD55" s="27"/>
    </row>
    <row r="56" spans="19:30" x14ac:dyDescent="0.35">
      <c r="S56" s="12">
        <f t="shared" si="1"/>
        <v>640.00000000000034</v>
      </c>
      <c r="T56">
        <f t="shared" si="2"/>
        <v>8.3775804095727865E-2</v>
      </c>
      <c r="U56" s="18">
        <f t="shared" si="3"/>
        <v>7.0142815009913307E-3</v>
      </c>
      <c r="V56" s="19">
        <f t="shared" si="4"/>
        <v>-14.623167987090703</v>
      </c>
      <c r="AD56" s="27"/>
    </row>
    <row r="57" spans="19:30" x14ac:dyDescent="0.35">
      <c r="S57" s="12">
        <f t="shared" si="1"/>
        <v>697.92494890576529</v>
      </c>
      <c r="T57">
        <f t="shared" si="2"/>
        <v>9.1358162176640986E-2</v>
      </c>
      <c r="U57" s="18">
        <f t="shared" si="3"/>
        <v>8.3405103315877388E-3</v>
      </c>
      <c r="V57" s="19">
        <f t="shared" si="4"/>
        <v>-14.078757474267185</v>
      </c>
      <c r="AD57" s="27"/>
    </row>
    <row r="58" spans="19:30" x14ac:dyDescent="0.35">
      <c r="S58" s="12">
        <f t="shared" si="1"/>
        <v>761.09255360174188</v>
      </c>
      <c r="T58">
        <f t="shared" si="2"/>
        <v>9.9626782295713673E-2</v>
      </c>
      <c r="U58" s="18">
        <f t="shared" si="3"/>
        <v>9.9172888441105677E-3</v>
      </c>
      <c r="V58" s="19">
        <f t="shared" si="4"/>
        <v>-13.567079893495816</v>
      </c>
      <c r="AD58" s="27"/>
    </row>
    <row r="59" spans="19:30" x14ac:dyDescent="0.35">
      <c r="S59" s="12">
        <f t="shared" si="1"/>
        <v>829.97731497664665</v>
      </c>
      <c r="T59">
        <f t="shared" si="2"/>
        <v>0.10864377647403395</v>
      </c>
      <c r="U59" s="18">
        <f t="shared" si="3"/>
        <v>1.1791864574584964E-2</v>
      </c>
      <c r="V59" s="19">
        <f t="shared" si="4"/>
        <v>-13.092138501246282</v>
      </c>
      <c r="AD59" s="27"/>
    </row>
    <row r="60" spans="19:30" x14ac:dyDescent="0.35">
      <c r="S60" s="12">
        <f t="shared" si="1"/>
        <v>905.09667991878132</v>
      </c>
      <c r="T60">
        <f t="shared" si="2"/>
        <v>0.11847687835088982</v>
      </c>
      <c r="U60" s="18">
        <f t="shared" si="3"/>
        <v>1.4020359139969256E-2</v>
      </c>
      <c r="V60" s="19">
        <f t="shared" si="4"/>
        <v>-12.658078734787029</v>
      </c>
      <c r="AD60" s="27"/>
    </row>
    <row r="61" spans="19:30" x14ac:dyDescent="0.35">
      <c r="S61" s="12">
        <f t="shared" si="1"/>
        <v>987.01492826108267</v>
      </c>
      <c r="T61">
        <f t="shared" si="2"/>
        <v>0.12919995198368642</v>
      </c>
      <c r="U61" s="18">
        <f t="shared" si="3"/>
        <v>1.6669420191011579E-2</v>
      </c>
      <c r="V61" s="19">
        <f t="shared" si="4"/>
        <v>-12.269091971667752</v>
      </c>
      <c r="AD61" s="27"/>
    </row>
    <row r="62" spans="19:30" x14ac:dyDescent="0.35">
      <c r="S62" s="12">
        <f t="shared" si="1"/>
        <v>1076.3474115247552</v>
      </c>
      <c r="T62">
        <f t="shared" si="2"/>
        <v>0.14089354669819004</v>
      </c>
      <c r="U62" s="18">
        <f t="shared" si="3"/>
        <v>1.9818174734081057E-2</v>
      </c>
      <c r="V62" s="19">
        <f t="shared" si="4"/>
        <v>-11.929297335586071</v>
      </c>
      <c r="AD62" s="27"/>
    </row>
    <row r="63" spans="19:30" x14ac:dyDescent="0.35">
      <c r="S63" s="12">
        <f t="shared" si="1"/>
        <v>1173.7651753019798</v>
      </c>
      <c r="T63">
        <f t="shared" si="2"/>
        <v>0.15364550215700981</v>
      </c>
      <c r="U63" s="18">
        <f t="shared" si="3"/>
        <v>2.3560536225731808E-2</v>
      </c>
      <c r="V63" s="19">
        <f t="shared" si="4"/>
        <v>-11.642605893100566</v>
      </c>
      <c r="AD63" s="27"/>
    </row>
    <row r="64" spans="19:30" x14ac:dyDescent="0.35">
      <c r="S64" s="12">
        <f t="shared" si="1"/>
        <v>1280.0000000000007</v>
      </c>
      <c r="T64">
        <f t="shared" si="2"/>
        <v>0.16755160819145573</v>
      </c>
      <c r="U64" s="18">
        <f t="shared" si="3"/>
        <v>2.8007925858990177E-2</v>
      </c>
      <c r="V64" s="19">
        <f t="shared" si="4"/>
        <v>-11.412574621692777</v>
      </c>
      <c r="AD64" s="27"/>
    </row>
    <row r="65" spans="19:30" x14ac:dyDescent="0.35">
      <c r="S65" s="12">
        <f t="shared" si="1"/>
        <v>1395.8498978115306</v>
      </c>
      <c r="T65">
        <f t="shared" si="2"/>
        <v>0.18271632435328197</v>
      </c>
      <c r="U65" s="18">
        <f t="shared" si="3"/>
        <v>3.3292477213759629E-2</v>
      </c>
      <c r="V65" s="19">
        <f t="shared" si="4"/>
        <v>-11.242260260570337</v>
      </c>
      <c r="AD65" s="27"/>
    </row>
    <row r="66" spans="19:30" x14ac:dyDescent="0.35">
      <c r="S66" s="12">
        <f t="shared" si="1"/>
        <v>1522.1851072034838</v>
      </c>
      <c r="T66">
        <f t="shared" si="2"/>
        <v>0.19925356459142735</v>
      </c>
      <c r="U66" s="18">
        <f t="shared" si="3"/>
        <v>3.9570802758424749E-2</v>
      </c>
      <c r="V66" s="19">
        <f t="shared" si="4"/>
        <v>-11.134085002425188</v>
      </c>
      <c r="AD66" s="27"/>
    </row>
    <row r="67" spans="19:30" x14ac:dyDescent="0.35">
      <c r="S67" s="12">
        <f t="shared" si="1"/>
        <v>1659.9546299532933</v>
      </c>
      <c r="T67">
        <f t="shared" si="2"/>
        <v>0.2172875529480679</v>
      </c>
      <c r="U67" s="18">
        <f t="shared" si="3"/>
        <v>4.7028410228194505E-2</v>
      </c>
      <c r="V67" s="19">
        <f t="shared" si="4"/>
        <v>-11.089726432328536</v>
      </c>
      <c r="AD67" s="27"/>
    </row>
    <row r="68" spans="19:30" x14ac:dyDescent="0.35">
      <c r="S68" s="12">
        <f t="shared" si="1"/>
        <v>1810.1933598375626</v>
      </c>
      <c r="T68">
        <f t="shared" si="2"/>
        <v>0.23695375670177965</v>
      </c>
      <c r="U68" s="18">
        <f t="shared" si="3"/>
        <v>5.588486608946331E-2</v>
      </c>
      <c r="V68" s="19">
        <f t="shared" si="4"/>
        <v>-11.110042869052947</v>
      </c>
      <c r="AD68" s="27"/>
    </row>
    <row r="69" spans="19:30" x14ac:dyDescent="0.35">
      <c r="S69" s="12">
        <f t="shared" si="1"/>
        <v>1974.0298565221653</v>
      </c>
      <c r="T69">
        <f t="shared" si="2"/>
        <v>0.25839990396737283</v>
      </c>
      <c r="U69" s="18">
        <f t="shared" si="3"/>
        <v>6.6399811194541802E-2</v>
      </c>
      <c r="V69" s="19">
        <f t="shared" si="4"/>
        <v>-11.195042340264862</v>
      </c>
      <c r="AD69" s="27"/>
    </row>
    <row r="70" spans="19:30" x14ac:dyDescent="0.35">
      <c r="S70" s="12">
        <f t="shared" si="1"/>
        <v>2152.6948230495104</v>
      </c>
      <c r="T70">
        <f t="shared" si="2"/>
        <v>0.28178709339638008</v>
      </c>
      <c r="U70" s="18">
        <f t="shared" si="3"/>
        <v>7.8879938886533649E-2</v>
      </c>
      <c r="V70" s="19">
        <f t="shared" si="4"/>
        <v>-11.343899207596259</v>
      </c>
      <c r="AD70" s="27"/>
    </row>
    <row r="71" spans="19:30" x14ac:dyDescent="0.35">
      <c r="S71" s="12">
        <f t="shared" si="1"/>
        <v>2347.5303506039595</v>
      </c>
      <c r="T71">
        <f t="shared" si="2"/>
        <v>0.30729100431401962</v>
      </c>
      <c r="U71" s="18">
        <f t="shared" si="3"/>
        <v>9.3687046035683216E-2</v>
      </c>
      <c r="V71" s="19">
        <f t="shared" si="4"/>
        <v>-11.555017621111574</v>
      </c>
      <c r="AD71" s="27"/>
    </row>
    <row r="72" spans="19:30" x14ac:dyDescent="0.35">
      <c r="S72" s="12">
        <f t="shared" si="1"/>
        <v>2560.0000000000014</v>
      </c>
      <c r="T72">
        <f t="shared" si="2"/>
        <v>0.33510321638291146</v>
      </c>
      <c r="U72" s="18">
        <f t="shared" si="3"/>
        <v>0.11124725952503801</v>
      </c>
      <c r="V72" s="19">
        <f t="shared" ref="V72:V96" si="5">10*LOG10(($B$15+$B$16+$B$17)^2 + ( $B$15*$B$17*U72 - ($B$16*($B$15+$B$17) + 4*$B$15*$B$17) )*U72 )  - 10*LOG10( (1+$Z$2+$Z$3)^2 + ( 1*$Z$3*U72 - ($Z$2*(1+$Z$3) + 4*1*$Z$3) )*U72)</f>
        <v>-11.826136339976657</v>
      </c>
      <c r="AD72" s="27"/>
    </row>
    <row r="73" spans="19:30" x14ac:dyDescent="0.35">
      <c r="S73" s="12">
        <f t="shared" si="1"/>
        <v>2791.6997956230612</v>
      </c>
      <c r="T73">
        <f t="shared" si="2"/>
        <v>0.36543264870656395</v>
      </c>
      <c r="U73" s="18">
        <f t="shared" si="3"/>
        <v>0.1320615198160098</v>
      </c>
      <c r="V73" s="19">
        <f t="shared" si="5"/>
        <v>-12.154465782978789</v>
      </c>
      <c r="AD73" s="27"/>
    </row>
    <row r="74" spans="19:30" x14ac:dyDescent="0.35">
      <c r="S74" s="12">
        <f t="shared" ref="S74:S95" si="6">S73*2^(1/8)</f>
        <v>3044.3702144069675</v>
      </c>
      <c r="T74">
        <f t="shared" ref="T74:T96" si="7">2*PI()*S74/$B$6</f>
        <v>0.39850712918285469</v>
      </c>
      <c r="U74" s="18">
        <f t="shared" ref="U74:U95" si="8">4*SIN(T74/2)^2</f>
        <v>0.15671736260275285</v>
      </c>
      <c r="V74" s="19">
        <f t="shared" si="5"/>
        <v>-12.536846033443553</v>
      </c>
      <c r="AD74" s="27"/>
    </row>
    <row r="75" spans="19:30" x14ac:dyDescent="0.35">
      <c r="S75" s="12">
        <f t="shared" si="6"/>
        <v>3319.9092599065866</v>
      </c>
      <c r="T75">
        <f t="shared" si="7"/>
        <v>0.43457510589613579</v>
      </c>
      <c r="U75" s="18">
        <f t="shared" si="8"/>
        <v>0.18590196954418667</v>
      </c>
      <c r="V75" s="19">
        <f t="shared" si="5"/>
        <v>-12.969914157401121</v>
      </c>
      <c r="AD75" s="27"/>
    </row>
    <row r="76" spans="19:30" x14ac:dyDescent="0.35">
      <c r="S76" s="12">
        <f t="shared" si="6"/>
        <v>3620.3867196751253</v>
      </c>
      <c r="T76">
        <f t="shared" si="7"/>
        <v>0.4739075134035593</v>
      </c>
      <c r="U76" s="18">
        <f t="shared" si="8"/>
        <v>0.22041634610001598</v>
      </c>
      <c r="V76" s="19">
        <f t="shared" si="5"/>
        <v>-13.450270492158753</v>
      </c>
      <c r="AD76" s="27"/>
    </row>
    <row r="77" spans="19:30" x14ac:dyDescent="0.35">
      <c r="S77" s="12">
        <f t="shared" si="6"/>
        <v>3948.0597130443307</v>
      </c>
      <c r="T77">
        <f t="shared" si="7"/>
        <v>0.51679980793474567</v>
      </c>
      <c r="U77" s="18">
        <f t="shared" si="8"/>
        <v>0.26119030985149644</v>
      </c>
      <c r="V77" s="19">
        <f t="shared" si="5"/>
        <v>-13.974636137648318</v>
      </c>
      <c r="AD77" s="27"/>
    </row>
    <row r="78" spans="19:30" x14ac:dyDescent="0.35">
      <c r="S78" s="12">
        <f t="shared" si="6"/>
        <v>4305.3896460990209</v>
      </c>
      <c r="T78">
        <f t="shared" si="7"/>
        <v>0.56357418679276017</v>
      </c>
      <c r="U78" s="18">
        <f t="shared" si="8"/>
        <v>0.30929771078739127</v>
      </c>
      <c r="V78" s="19">
        <f t="shared" si="5"/>
        <v>-14.539997208991279</v>
      </c>
      <c r="AD78" s="27"/>
    </row>
    <row r="79" spans="19:30" x14ac:dyDescent="0.35">
      <c r="S79" s="12">
        <f t="shared" si="6"/>
        <v>4695.060701207919</v>
      </c>
      <c r="T79">
        <f t="shared" si="7"/>
        <v>0.61458200862803924</v>
      </c>
      <c r="U79" s="18">
        <f t="shared" si="8"/>
        <v>0.36597092154784067</v>
      </c>
      <c r="V79" s="19">
        <f t="shared" si="5"/>
        <v>-15.143734979041106</v>
      </c>
      <c r="AD79" s="27"/>
    </row>
    <row r="80" spans="19:30" x14ac:dyDescent="0.35">
      <c r="S80" s="12">
        <f t="shared" si="6"/>
        <v>5120.0000000000027</v>
      </c>
      <c r="T80">
        <f t="shared" si="7"/>
        <v>0.67020643276582292</v>
      </c>
      <c r="U80" s="18">
        <f t="shared" si="8"/>
        <v>0.43261308534832082</v>
      </c>
      <c r="V80" s="19">
        <f t="shared" si="5"/>
        <v>-15.783744498498461</v>
      </c>
      <c r="AD80" s="27"/>
    </row>
    <row r="81" spans="19:30" x14ac:dyDescent="0.35">
      <c r="S81" s="12">
        <f t="shared" si="6"/>
        <v>5583.3995912461223</v>
      </c>
      <c r="T81">
        <f t="shared" si="7"/>
        <v>0.73086529741312789</v>
      </c>
      <c r="U81" s="18">
        <f t="shared" si="8"/>
        <v>0.51080583424792492</v>
      </c>
      <c r="V81" s="19">
        <f t="shared" si="5"/>
        <v>-16.458547503578501</v>
      </c>
      <c r="AD81" s="27"/>
    </row>
    <row r="82" spans="19:30" x14ac:dyDescent="0.35">
      <c r="S82" s="12">
        <f t="shared" si="6"/>
        <v>6088.7404288139351</v>
      </c>
      <c r="T82">
        <f t="shared" si="7"/>
        <v>0.79701425836570938</v>
      </c>
      <c r="U82" s="18">
        <f t="shared" si="8"/>
        <v>0.60230911866984871</v>
      </c>
      <c r="V82" s="19">
        <f t="shared" si="5"/>
        <v>-17.167408546808957</v>
      </c>
      <c r="AD82" s="27"/>
    </row>
    <row r="83" spans="19:30" x14ac:dyDescent="0.35">
      <c r="S83" s="12">
        <f t="shared" si="6"/>
        <v>6639.8185198131732</v>
      </c>
      <c r="T83">
        <f t="shared" si="7"/>
        <v>0.86915021179227159</v>
      </c>
      <c r="U83" s="18">
        <f t="shared" si="8"/>
        <v>0.70904833589633898</v>
      </c>
      <c r="V83" s="19">
        <f t="shared" si="5"/>
        <v>-17.910466739195058</v>
      </c>
      <c r="AD83" s="27"/>
    </row>
    <row r="84" spans="19:30" x14ac:dyDescent="0.35">
      <c r="S84" s="12">
        <f t="shared" si="6"/>
        <v>7240.7734393502506</v>
      </c>
      <c r="T84">
        <f t="shared" si="7"/>
        <v>0.9478150268071186</v>
      </c>
      <c r="U84" s="18">
        <f t="shared" si="8"/>
        <v>0.83308201877198185</v>
      </c>
      <c r="V84" s="19">
        <f t="shared" si="5"/>
        <v>-18.688900035342719</v>
      </c>
      <c r="AD84" s="27"/>
    </row>
    <row r="85" spans="19:30" x14ac:dyDescent="0.35">
      <c r="S85" s="12">
        <f t="shared" si="6"/>
        <v>7896.1194260886614</v>
      </c>
      <c r="T85">
        <f t="shared" si="7"/>
        <v>1.0335996158694913</v>
      </c>
      <c r="U85" s="18">
        <f t="shared" si="8"/>
        <v>0.9765408614456651</v>
      </c>
      <c r="V85" s="19">
        <f t="shared" si="5"/>
        <v>-19.505145894139339</v>
      </c>
      <c r="AD85" s="27"/>
    </row>
    <row r="86" spans="19:30" x14ac:dyDescent="0.35">
      <c r="S86" s="12">
        <f t="shared" si="6"/>
        <v>8610.7792921980417</v>
      </c>
      <c r="T86">
        <f t="shared" si="7"/>
        <v>1.1271483735855203</v>
      </c>
      <c r="U86" s="18">
        <f t="shared" si="8"/>
        <v>1.1415257692512444</v>
      </c>
      <c r="V86" s="19">
        <f t="shared" si="5"/>
        <v>-20.363213568509597</v>
      </c>
      <c r="AD86" s="27"/>
    </row>
    <row r="87" spans="19:30" x14ac:dyDescent="0.35">
      <c r="S87" s="12">
        <f t="shared" si="6"/>
        <v>9390.121402415838</v>
      </c>
      <c r="T87">
        <f t="shared" si="7"/>
        <v>1.2291640172560785</v>
      </c>
      <c r="U87" s="18">
        <f t="shared" si="8"/>
        <v>1.3299489707727872</v>
      </c>
      <c r="V87" s="19">
        <f t="shared" si="5"/>
        <v>-21.269143144881607</v>
      </c>
      <c r="AD87" s="27"/>
    </row>
    <row r="88" spans="19:30" x14ac:dyDescent="0.35">
      <c r="S88" s="12">
        <f t="shared" si="6"/>
        <v>10240.000000000005</v>
      </c>
      <c r="T88">
        <f t="shared" si="7"/>
        <v>1.3404128655316458</v>
      </c>
      <c r="U88" s="18">
        <f t="shared" si="8"/>
        <v>1.54329825977869</v>
      </c>
      <c r="V88" s="19">
        <f t="shared" si="5"/>
        <v>-22.231702381856177</v>
      </c>
      <c r="AD88" s="27"/>
    </row>
    <row r="89" spans="19:30" x14ac:dyDescent="0.35">
      <c r="S89" s="12">
        <f t="shared" si="6"/>
        <v>11166.799182492245</v>
      </c>
      <c r="T89">
        <f t="shared" si="7"/>
        <v>1.4617305948262558</v>
      </c>
      <c r="U89" s="18">
        <f t="shared" si="8"/>
        <v>1.7823007366899815</v>
      </c>
      <c r="V89" s="19">
        <f t="shared" si="5"/>
        <v>-23.263480136518794</v>
      </c>
      <c r="AD89" s="27"/>
    </row>
    <row r="90" spans="19:30" x14ac:dyDescent="0.35">
      <c r="S90" s="12">
        <f t="shared" si="6"/>
        <v>12177.48085762787</v>
      </c>
      <c r="T90">
        <f t="shared" si="7"/>
        <v>1.5940285167314188</v>
      </c>
      <c r="U90" s="18">
        <f t="shared" si="8"/>
        <v>2.0464602002465448</v>
      </c>
      <c r="V90" s="19">
        <f t="shared" si="5"/>
        <v>-24.382669515727464</v>
      </c>
      <c r="AD90" s="27"/>
    </row>
    <row r="91" spans="19:30" x14ac:dyDescent="0.35">
      <c r="S91" s="12">
        <f t="shared" si="6"/>
        <v>13279.637039626346</v>
      </c>
      <c r="T91">
        <f t="shared" si="7"/>
        <v>1.7383004235845432</v>
      </c>
      <c r="U91" s="18">
        <f t="shared" si="8"/>
        <v>2.3334438009479883</v>
      </c>
      <c r="V91" s="19">
        <f t="shared" si="5"/>
        <v>-25.616117722960457</v>
      </c>
      <c r="AD91" s="27"/>
    </row>
    <row r="92" spans="19:30" x14ac:dyDescent="0.35">
      <c r="S92" s="12">
        <f t="shared" si="6"/>
        <v>14481.546878700501</v>
      </c>
      <c r="T92">
        <f t="shared" si="7"/>
        <v>1.8956300536142372</v>
      </c>
      <c r="U92" s="18">
        <f t="shared" si="8"/>
        <v>2.6383024250867271</v>
      </c>
      <c r="V92" s="19">
        <f t="shared" si="5"/>
        <v>-27.004868763649306</v>
      </c>
      <c r="AD92" s="27"/>
    </row>
    <row r="93" spans="19:30" x14ac:dyDescent="0.35">
      <c r="S93" s="12">
        <f t="shared" si="6"/>
        <v>15792.238852177323</v>
      </c>
      <c r="T93">
        <f t="shared" si="7"/>
        <v>2.0671992317389827</v>
      </c>
      <c r="U93" s="18">
        <f t="shared" si="8"/>
        <v>2.952531391709619</v>
      </c>
      <c r="V93" s="19">
        <f t="shared" si="5"/>
        <v>-28.615068717268535</v>
      </c>
      <c r="AD93" s="27"/>
    </row>
    <row r="94" spans="19:30" x14ac:dyDescent="0.35">
      <c r="S94" s="12">
        <f t="shared" si="6"/>
        <v>17221.558584396083</v>
      </c>
      <c r="T94">
        <f t="shared" si="7"/>
        <v>2.2542967471710407</v>
      </c>
      <c r="U94" s="18">
        <f t="shared" si="8"/>
        <v>3.2630219951403325</v>
      </c>
      <c r="V94" s="19">
        <f t="shared" si="5"/>
        <v>-30.561862034492172</v>
      </c>
      <c r="AD94" s="27"/>
    </row>
    <row r="95" spans="19:30" x14ac:dyDescent="0.35">
      <c r="S95" s="12">
        <f t="shared" si="6"/>
        <v>18780.242804831676</v>
      </c>
      <c r="T95">
        <f t="shared" si="7"/>
        <v>2.458328034512157</v>
      </c>
      <c r="U95" s="18">
        <f t="shared" si="8"/>
        <v>3.5510316182315527</v>
      </c>
      <c r="V95" s="19">
        <f t="shared" si="5"/>
        <v>-33.070528295953238</v>
      </c>
      <c r="AD95" s="27"/>
    </row>
    <row r="96" spans="19:30" x14ac:dyDescent="0.35">
      <c r="S96" s="12">
        <f>S95*2^(1/8)</f>
        <v>20480.000000000011</v>
      </c>
      <c r="T96">
        <f t="shared" si="7"/>
        <v>2.6808257310632917</v>
      </c>
      <c r="U96" s="18">
        <f>4*SIN(T96/2)^2</f>
        <v>3.7914235204788267</v>
      </c>
      <c r="V96" s="19">
        <f t="shared" si="5"/>
        <v>-36.676550957773429</v>
      </c>
      <c r="AD96" s="27"/>
    </row>
    <row r="97" spans="19:30" x14ac:dyDescent="0.35">
      <c r="S97" s="12"/>
      <c r="U97" s="18"/>
      <c r="V97" s="19"/>
      <c r="AD97" s="27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6" max="27" width="17.54296875" bestFit="1" customWidth="1"/>
    <col min="28" max="28" width="18.54296875" bestFit="1" customWidth="1"/>
    <col min="29" max="29" width="12.7265625" bestFit="1" customWidth="1"/>
    <col min="30" max="30" width="12.7265625" customWidth="1"/>
    <col min="31" max="31" width="10.54296875" bestFit="1" customWidth="1"/>
    <col min="32" max="33" width="17.54296875" bestFit="1" customWidth="1"/>
    <col min="36" max="37" width="17.54296875" bestFit="1" customWidth="1"/>
  </cols>
  <sheetData>
    <row r="1" spans="1:37" x14ac:dyDescent="0.35">
      <c r="A1" t="s">
        <v>64</v>
      </c>
      <c r="Y1" t="s">
        <v>19</v>
      </c>
      <c r="Z1" s="22">
        <v>1</v>
      </c>
      <c r="AA1" t="s">
        <v>22</v>
      </c>
      <c r="AB1" s="31">
        <f>AB5</f>
        <v>6.5263096110025787E-2</v>
      </c>
      <c r="AE1" t="s">
        <v>42</v>
      </c>
      <c r="AF1" s="22">
        <f>Z2^2-4*Z1*Z3</f>
        <v>-4.5040461118710517E-2</v>
      </c>
      <c r="AG1" s="22">
        <f>B16^2-4*B15*B17</f>
        <v>1.5013487039571359E-2</v>
      </c>
      <c r="AI1" t="s">
        <v>48</v>
      </c>
      <c r="AJ1" s="22">
        <f>IF(AF1&lt;0,AF5,AF2)</f>
        <v>0.93070422226605498</v>
      </c>
      <c r="AK1" s="22">
        <f>IF(AF1&lt;0,AF5,AF2)</f>
        <v>0.93070422226605498</v>
      </c>
    </row>
    <row r="2" spans="1:37" x14ac:dyDescent="0.35">
      <c r="A2" s="1" t="s">
        <v>56</v>
      </c>
      <c r="B2" s="6"/>
      <c r="Y2" t="s">
        <v>20</v>
      </c>
      <c r="Z2" s="22">
        <f>ROUND(-B12,14)</f>
        <v>-1.86140844453211</v>
      </c>
      <c r="AA2" t="s">
        <v>23</v>
      </c>
      <c r="AB2" s="31">
        <f>-2*COS($AB$4)</f>
        <v>-1.9828897227476208</v>
      </c>
      <c r="AE2" t="s">
        <v>43</v>
      </c>
      <c r="AF2" s="22" t="e">
        <f>(-Z2-SQRT(AF1))/2*Z1</f>
        <v>#NUM!</v>
      </c>
      <c r="AG2" s="22">
        <f>(-B16-SQRT(AG1))/2*B15</f>
        <v>-3.7533717598928398E-3</v>
      </c>
      <c r="AJ2" s="22">
        <f>IF(AF1&lt;0,AF6,0)</f>
        <v>0.10611369034991493</v>
      </c>
      <c r="AK2" s="22">
        <f>IF(AF1&lt;0,-AF6,0)</f>
        <v>-0.10611369034991493</v>
      </c>
    </row>
    <row r="3" spans="1:37" x14ac:dyDescent="0.35">
      <c r="A3" t="s">
        <v>50</v>
      </c>
      <c r="B3" s="26">
        <v>1000</v>
      </c>
      <c r="C3" t="s">
        <v>4</v>
      </c>
      <c r="Y3" t="s">
        <v>21</v>
      </c>
      <c r="Z3" s="22">
        <f>ROUND(-B13,14)</f>
        <v>0.87747046462353995</v>
      </c>
      <c r="AA3" t="s">
        <v>24</v>
      </c>
      <c r="AB3" s="31">
        <f>-AB5</f>
        <v>-6.5263096110025787E-2</v>
      </c>
      <c r="AE3" t="s">
        <v>44</v>
      </c>
      <c r="AF3" s="22" t="e">
        <f>(-Z2-SQRT(AF1))/2*Z1</f>
        <v>#NUM!</v>
      </c>
      <c r="AG3" s="22">
        <f>(-B16-SQRT(AG1))/2*B15</f>
        <v>-3.7533717598928398E-3</v>
      </c>
    </row>
    <row r="4" spans="1:37" x14ac:dyDescent="0.35">
      <c r="A4" t="s">
        <v>51</v>
      </c>
      <c r="B4" s="26">
        <v>1</v>
      </c>
      <c r="AA4" t="s">
        <v>52</v>
      </c>
      <c r="AB4">
        <f>2*PI()*$B$3/($B$6)</f>
        <v>0.1308996938995747</v>
      </c>
      <c r="AF4" s="22"/>
      <c r="AG4" s="22"/>
      <c r="AI4" t="s">
        <v>49</v>
      </c>
      <c r="AJ4" s="22">
        <f>IF(AG1&lt;0,AG5,AG2)</f>
        <v>-3.7533717598928398E-3</v>
      </c>
      <c r="AK4" s="22">
        <f>IF(AG1&lt;0,AG5,AG2)</f>
        <v>-3.7533717598928398E-3</v>
      </c>
    </row>
    <row r="5" spans="1:37" x14ac:dyDescent="0.35">
      <c r="AA5" t="s">
        <v>53</v>
      </c>
      <c r="AB5">
        <f>SIN($AB$4)/(2*$B$4)</f>
        <v>6.5263096110025787E-2</v>
      </c>
      <c r="AE5" t="s">
        <v>45</v>
      </c>
      <c r="AF5" s="22">
        <f>-Z2/(2*Z1)</f>
        <v>0.93070422226605498</v>
      </c>
      <c r="AG5" s="22">
        <f>-B16/(2*B15)</f>
        <v>0</v>
      </c>
      <c r="AH5" s="1"/>
      <c r="AJ5" s="22">
        <f>IF(AG1&lt;0,AG6,0)</f>
        <v>0</v>
      </c>
      <c r="AK5" s="22">
        <f>IF(AG1&lt;0,-AG6,0)</f>
        <v>0</v>
      </c>
    </row>
    <row r="6" spans="1:37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E6" t="s">
        <v>46</v>
      </c>
      <c r="AF6" s="22">
        <f>SQRT(-AF1)/(2*Z1)</f>
        <v>0.10611369034991493</v>
      </c>
      <c r="AG6" s="22" t="e">
        <f>SQRT(-AG1)/(2*B15)</f>
        <v>#NUM!</v>
      </c>
    </row>
    <row r="7" spans="1:37" x14ac:dyDescent="0.35">
      <c r="B7" s="6"/>
      <c r="S7" s="7" t="s">
        <v>4</v>
      </c>
      <c r="V7" s="17" t="s">
        <v>14</v>
      </c>
      <c r="W7" s="16"/>
      <c r="X7" s="16"/>
      <c r="Y7" s="16"/>
      <c r="AE7" t="s">
        <v>47</v>
      </c>
      <c r="AF7" s="22">
        <f>SQRT(AF5^2+AF6^2)</f>
        <v>0.93673393480942069</v>
      </c>
    </row>
    <row r="8" spans="1:37" x14ac:dyDescent="0.35">
      <c r="B8" s="6"/>
      <c r="S8" s="9">
        <v>10</v>
      </c>
      <c r="T8">
        <f t="shared" ref="T8:T39" si="0">2*PI()*S8/$B$6</f>
        <v>1.308996938995747E-3</v>
      </c>
      <c r="U8" s="18">
        <f t="shared" ref="U8:U39" si="1">4*SIN(T8/2)^2</f>
        <v>1.7134727416344432E-6</v>
      </c>
      <c r="V8" s="19">
        <f t="shared" ref="V8:V39" si="2">10*LOG10(($B$15+$B$16+$B$17)^2 + ( $B$15*$B$17*U8 - ($B$16*($B$15+$B$17) + 4*$B$15*$B$17) )*U8 )  - 10*LOG10( (1+$Z$2+$Z$3)^2 + ( 1*$Z$3*U8 - ($Z$2*(1+$Z$3) + 4*1*$Z$3) )*U8)</f>
        <v>-40.011980669105625</v>
      </c>
      <c r="Y8" s="27"/>
      <c r="AD8" s="27"/>
      <c r="AF8" s="22"/>
    </row>
    <row r="9" spans="1:37" x14ac:dyDescent="0.35">
      <c r="A9" s="33" t="s">
        <v>54</v>
      </c>
      <c r="B9" s="33"/>
      <c r="C9" s="33"/>
      <c r="D9" s="1"/>
      <c r="S9" s="12">
        <f t="shared" ref="S9:S40" si="3">S8*2^(1/8)</f>
        <v>10.905077326652577</v>
      </c>
      <c r="T9">
        <f t="shared" si="0"/>
        <v>1.427471284010015E-3</v>
      </c>
      <c r="U9" s="18">
        <f t="shared" si="1"/>
        <v>2.0376739206635231E-6</v>
      </c>
      <c r="V9" s="19">
        <f t="shared" si="2"/>
        <v>-39.259323517133033</v>
      </c>
      <c r="AD9" s="27"/>
      <c r="AF9" s="22">
        <f>IF(AF1&lt;0,AF7,AF2)</f>
        <v>0.93673393480942069</v>
      </c>
    </row>
    <row r="10" spans="1:37" x14ac:dyDescent="0.35">
      <c r="A10" s="33" t="s">
        <v>55</v>
      </c>
      <c r="B10" s="33"/>
      <c r="C10" s="33"/>
      <c r="S10" s="12">
        <f t="shared" si="3"/>
        <v>11.892071150027212</v>
      </c>
      <c r="T10">
        <f t="shared" si="0"/>
        <v>1.5566684733705255E-3</v>
      </c>
      <c r="U10" s="18">
        <f t="shared" si="1"/>
        <v>2.4232162466541498E-6</v>
      </c>
      <c r="V10" s="19">
        <f t="shared" si="2"/>
        <v>-38.506650821373441</v>
      </c>
      <c r="AD10" s="27"/>
    </row>
    <row r="11" spans="1:37" x14ac:dyDescent="0.35">
      <c r="A11" t="s">
        <v>19</v>
      </c>
      <c r="B11" s="23">
        <v>1</v>
      </c>
      <c r="S11" s="12">
        <f t="shared" si="3"/>
        <v>12.968395546510099</v>
      </c>
      <c r="T11">
        <f t="shared" si="0"/>
        <v>1.6975590074067798E-3</v>
      </c>
      <c r="U11" s="18">
        <f t="shared" si="1"/>
        <v>2.8817058916085552E-6</v>
      </c>
      <c r="V11" s="19">
        <f t="shared" si="2"/>
        <v>-37.753959641661126</v>
      </c>
      <c r="AD11" s="27"/>
    </row>
    <row r="12" spans="1:37" x14ac:dyDescent="0.35">
      <c r="A12" t="s">
        <v>20</v>
      </c>
      <c r="B12" s="20">
        <f>-(-2*COS(B22))/B24</f>
        <v>1.8614084445321082</v>
      </c>
      <c r="S12" s="12">
        <f t="shared" si="3"/>
        <v>14.142135623730953</v>
      </c>
      <c r="T12">
        <f t="shared" si="0"/>
        <v>1.8512012242326529E-3</v>
      </c>
      <c r="U12" s="18">
        <f t="shared" si="1"/>
        <v>3.4269449939373591E-6</v>
      </c>
      <c r="V12" s="19">
        <f t="shared" si="2"/>
        <v>-37.001246481873842</v>
      </c>
      <c r="AD12" s="27"/>
    </row>
    <row r="13" spans="1:37" ht="15" customHeight="1" x14ac:dyDescent="0.35">
      <c r="A13" t="s">
        <v>21</v>
      </c>
      <c r="B13" s="20">
        <f>-(1-B23)/B24</f>
        <v>-0.87747046462353917</v>
      </c>
      <c r="C13" s="25"/>
      <c r="S13" s="12">
        <f t="shared" si="3"/>
        <v>15.422108254079411</v>
      </c>
      <c r="T13">
        <f t="shared" si="0"/>
        <v>2.0187492497450994E-3</v>
      </c>
      <c r="U13" s="18">
        <f t="shared" si="1"/>
        <v>4.0753471493077851E-6</v>
      </c>
      <c r="V13" s="19">
        <f t="shared" si="2"/>
        <v>-36.248507184884389</v>
      </c>
      <c r="AD13" s="27"/>
    </row>
    <row r="14" spans="1:37" ht="15" customHeight="1" x14ac:dyDescent="0.35">
      <c r="B14" s="21"/>
      <c r="C14" s="25"/>
      <c r="S14" s="12">
        <f t="shared" si="3"/>
        <v>16.817928305074293</v>
      </c>
      <c r="T14">
        <f t="shared" si="0"/>
        <v>2.2014616671592185E-3</v>
      </c>
      <c r="U14" s="18">
        <f t="shared" si="1"/>
        <v>4.8464315146453117E-6</v>
      </c>
      <c r="V14" s="19">
        <f t="shared" si="2"/>
        <v>-35.49573680769528</v>
      </c>
      <c r="AD14" s="27"/>
    </row>
    <row r="15" spans="1:37" x14ac:dyDescent="0.35">
      <c r="A15" t="s">
        <v>22</v>
      </c>
      <c r="B15" s="20">
        <f>B23/B24</f>
        <v>6.1264767688230401E-2</v>
      </c>
      <c r="S15" s="12">
        <f t="shared" si="3"/>
        <v>18.340080864093427</v>
      </c>
      <c r="T15">
        <f t="shared" si="0"/>
        <v>2.4007109712032774E-3</v>
      </c>
      <c r="U15" s="18">
        <f t="shared" si="1"/>
        <v>5.7634103991787035E-6</v>
      </c>
      <c r="V15" s="19">
        <f t="shared" si="2"/>
        <v>-34.742929473031879</v>
      </c>
      <c r="AD15" s="27"/>
    </row>
    <row r="16" spans="1:37" x14ac:dyDescent="0.35">
      <c r="A16" t="s">
        <v>23</v>
      </c>
      <c r="B16" s="20">
        <v>0</v>
      </c>
      <c r="S16" s="12">
        <f t="shared" si="3"/>
        <v>20.000000000000004</v>
      </c>
      <c r="T16">
        <f t="shared" si="0"/>
        <v>2.6179938779914949E-3</v>
      </c>
      <c r="U16" s="18">
        <f t="shared" si="1"/>
        <v>6.8538880305489414E-6</v>
      </c>
      <c r="V16" s="19">
        <f t="shared" si="2"/>
        <v>-33.990078192974003</v>
      </c>
      <c r="AD16" s="27"/>
    </row>
    <row r="17" spans="1:30" x14ac:dyDescent="0.35">
      <c r="A17" t="s">
        <v>24</v>
      </c>
      <c r="B17" s="20">
        <f>-B23/B24</f>
        <v>-6.1264767688230401E-2</v>
      </c>
      <c r="S17" s="12">
        <f t="shared" si="3"/>
        <v>21.810154653305158</v>
      </c>
      <c r="T17">
        <f t="shared" si="0"/>
        <v>2.8549425680200304E-3</v>
      </c>
      <c r="U17" s="18">
        <f t="shared" si="1"/>
        <v>8.1506915305390883E-6</v>
      </c>
      <c r="V17" s="19">
        <f t="shared" si="2"/>
        <v>-33.237174659385225</v>
      </c>
      <c r="AD17" s="27"/>
    </row>
    <row r="18" spans="1:30" x14ac:dyDescent="0.35">
      <c r="S18" s="12">
        <f t="shared" si="3"/>
        <v>23.784142300054427</v>
      </c>
      <c r="T18">
        <f t="shared" si="0"/>
        <v>3.1133369467410514E-3</v>
      </c>
      <c r="U18" s="18">
        <f t="shared" si="1"/>
        <v>9.6928591146396239E-6</v>
      </c>
      <c r="V18" s="19">
        <f t="shared" si="2"/>
        <v>-32.484208994926931</v>
      </c>
      <c r="AD18" s="27"/>
    </row>
    <row r="19" spans="1:30" x14ac:dyDescent="0.35">
      <c r="A19" t="s">
        <v>34</v>
      </c>
      <c r="B19" s="24" t="str">
        <f>IF(ABS(AF9)&lt;1,"Stable","Not stable")</f>
        <v>Stable</v>
      </c>
      <c r="S19" s="12">
        <f t="shared" si="3"/>
        <v>25.936791093020201</v>
      </c>
      <c r="T19">
        <f t="shared" si="0"/>
        <v>3.39511801481356E-3</v>
      </c>
      <c r="U19" s="18">
        <f t="shared" si="1"/>
        <v>1.1526815262205378E-5</v>
      </c>
      <c r="V19" s="19">
        <f t="shared" si="2"/>
        <v>-31.73116945729867</v>
      </c>
      <c r="AD19" s="27"/>
    </row>
    <row r="20" spans="1:30" x14ac:dyDescent="0.35">
      <c r="S20" s="12">
        <f t="shared" si="3"/>
        <v>28.284271247461909</v>
      </c>
      <c r="T20">
        <f t="shared" si="0"/>
        <v>3.7024024484653062E-3</v>
      </c>
      <c r="U20" s="18">
        <f t="shared" si="1"/>
        <v>1.3707768231797451E-5</v>
      </c>
      <c r="V20" s="19">
        <f t="shared" si="2"/>
        <v>-30.978042087994353</v>
      </c>
      <c r="AD20" s="27"/>
    </row>
    <row r="21" spans="1:30" x14ac:dyDescent="0.35">
      <c r="A21" s="1"/>
      <c r="S21" s="12">
        <f t="shared" si="3"/>
        <v>30.844216508158826</v>
      </c>
      <c r="T21">
        <f t="shared" si="0"/>
        <v>4.0374984994901997E-3</v>
      </c>
      <c r="U21" s="18">
        <f t="shared" si="1"/>
        <v>1.6301371988776759E-5</v>
      </c>
      <c r="V21" s="19">
        <f t="shared" si="2"/>
        <v>-30.224810295275198</v>
      </c>
      <c r="AD21" s="27"/>
    </row>
    <row r="22" spans="1:30" x14ac:dyDescent="0.35">
      <c r="A22" t="s">
        <v>52</v>
      </c>
      <c r="B22">
        <f>2*PI()*B3/B6</f>
        <v>0.1308996938995747</v>
      </c>
      <c r="S22" s="12">
        <f t="shared" si="3"/>
        <v>33.635856610148593</v>
      </c>
      <c r="T22">
        <f t="shared" si="0"/>
        <v>4.4029233343184379E-3</v>
      </c>
      <c r="U22" s="18">
        <f t="shared" si="1"/>
        <v>1.9385702570682833E-5</v>
      </c>
      <c r="V22" s="19">
        <f t="shared" si="2"/>
        <v>-29.4714543591937</v>
      </c>
      <c r="AD22" s="27"/>
    </row>
    <row r="23" spans="1:30" x14ac:dyDescent="0.35">
      <c r="A23" t="s">
        <v>53</v>
      </c>
      <c r="B23">
        <f>SIN(B22)/(2*B4)</f>
        <v>6.5263096110025787E-2</v>
      </c>
      <c r="S23" s="12">
        <f t="shared" si="3"/>
        <v>36.68016172818686</v>
      </c>
      <c r="T23">
        <f t="shared" si="0"/>
        <v>4.8014219424065549E-3</v>
      </c>
      <c r="U23" s="18">
        <f t="shared" si="1"/>
        <v>2.3053608379815388E-5</v>
      </c>
      <c r="V23" s="19">
        <f t="shared" si="2"/>
        <v>-28.717950844320065</v>
      </c>
      <c r="AD23" s="27"/>
    </row>
    <row r="24" spans="1:30" x14ac:dyDescent="0.35">
      <c r="A24" t="s">
        <v>19</v>
      </c>
      <c r="B24">
        <f>1+B23</f>
        <v>1.0652630961100258</v>
      </c>
      <c r="S24" s="12">
        <f t="shared" si="3"/>
        <v>40.000000000000014</v>
      </c>
      <c r="T24">
        <f t="shared" si="0"/>
        <v>5.2359877559829907E-3</v>
      </c>
      <c r="U24" s="18">
        <f t="shared" si="1"/>
        <v>2.7415505146414638E-5</v>
      </c>
      <c r="V24" s="19">
        <f t="shared" si="2"/>
        <v>-27.964271903274771</v>
      </c>
      <c r="AD24" s="27"/>
    </row>
    <row r="25" spans="1:30" x14ac:dyDescent="0.35">
      <c r="S25" s="12">
        <f t="shared" si="3"/>
        <v>43.620309306610324</v>
      </c>
      <c r="T25">
        <f t="shared" si="0"/>
        <v>5.7098851360400608E-3</v>
      </c>
      <c r="U25" s="18">
        <f t="shared" si="1"/>
        <v>3.2602699688383923E-5</v>
      </c>
      <c r="V25" s="19">
        <f t="shared" si="2"/>
        <v>-27.210384451213947</v>
      </c>
      <c r="AD25" s="27"/>
    </row>
    <row r="26" spans="1:30" x14ac:dyDescent="0.35">
      <c r="S26" s="12">
        <f t="shared" si="3"/>
        <v>47.568284600108861</v>
      </c>
      <c r="T26">
        <f t="shared" si="0"/>
        <v>6.2266738934821028E-3</v>
      </c>
      <c r="U26" s="18">
        <f t="shared" si="1"/>
        <v>3.8771342507040672E-5</v>
      </c>
      <c r="V26" s="19">
        <f t="shared" si="2"/>
        <v>-26.456249187998218</v>
      </c>
      <c r="AD26" s="27"/>
    </row>
    <row r="27" spans="1:30" x14ac:dyDescent="0.35">
      <c r="S27" s="12">
        <f t="shared" si="3"/>
        <v>51.873582186040409</v>
      </c>
      <c r="T27">
        <f t="shared" si="0"/>
        <v>6.7902360296271218E-3</v>
      </c>
      <c r="U27" s="18">
        <f t="shared" si="1"/>
        <v>4.6107128181351442E-5</v>
      </c>
      <c r="V27" s="19">
        <f t="shared" si="2"/>
        <v>-25.701819440860639</v>
      </c>
      <c r="AD27" s="27"/>
    </row>
    <row r="28" spans="1:30" x14ac:dyDescent="0.35">
      <c r="S28" s="12">
        <f t="shared" si="3"/>
        <v>56.568542494923825</v>
      </c>
      <c r="T28">
        <f t="shared" si="0"/>
        <v>7.4048048969306141E-3</v>
      </c>
      <c r="U28" s="18">
        <f t="shared" si="1"/>
        <v>5.4830885024279924E-5</v>
      </c>
      <c r="V28" s="19">
        <f t="shared" si="2"/>
        <v>-24.947039795942253</v>
      </c>
      <c r="AD28" s="27"/>
    </row>
    <row r="29" spans="1:30" x14ac:dyDescent="0.35">
      <c r="S29" s="12">
        <f t="shared" si="3"/>
        <v>61.68843301631766</v>
      </c>
      <c r="T29">
        <f t="shared" si="0"/>
        <v>8.0749969989804011E-3</v>
      </c>
      <c r="U29" s="18">
        <f t="shared" si="1"/>
        <v>6.5205222220378339E-5</v>
      </c>
      <c r="V29" s="19">
        <f t="shared" si="2"/>
        <v>-24.191844482078324</v>
      </c>
      <c r="AD29" s="27"/>
    </row>
    <row r="30" spans="1:30" x14ac:dyDescent="0.35">
      <c r="S30" s="12">
        <f t="shared" si="3"/>
        <v>67.271713220297201</v>
      </c>
      <c r="T30">
        <f t="shared" si="0"/>
        <v>8.8058466686368776E-3</v>
      </c>
      <c r="U30" s="18">
        <f t="shared" si="1"/>
        <v>7.7542434477267176E-5</v>
      </c>
      <c r="V30" s="19">
        <f t="shared" si="2"/>
        <v>-23.436155464725687</v>
      </c>
      <c r="AD30" s="27"/>
    </row>
    <row r="31" spans="1:30" x14ac:dyDescent="0.35">
      <c r="S31" s="12">
        <f t="shared" si="3"/>
        <v>73.360323456373735</v>
      </c>
      <c r="T31">
        <f t="shared" si="0"/>
        <v>9.6028438848131132E-3</v>
      </c>
      <c r="U31" s="18">
        <f t="shared" si="1"/>
        <v>9.2213902050402276E-5</v>
      </c>
      <c r="V31" s="19">
        <f t="shared" si="2"/>
        <v>-22.679880202023064</v>
      </c>
      <c r="AD31" s="27"/>
    </row>
    <row r="32" spans="1:30" x14ac:dyDescent="0.35">
      <c r="S32" s="12">
        <f t="shared" si="3"/>
        <v>80.000000000000043</v>
      </c>
      <c r="T32">
        <f t="shared" si="0"/>
        <v>1.0471975511965983E-2</v>
      </c>
      <c r="U32" s="18">
        <f t="shared" si="1"/>
        <v>1.0966126897573617E-4</v>
      </c>
      <c r="V32" s="19">
        <f t="shared" si="2"/>
        <v>-21.922909008883856</v>
      </c>
      <c r="AD32" s="27"/>
    </row>
    <row r="33" spans="19:30" x14ac:dyDescent="0.35">
      <c r="S33" s="12">
        <f t="shared" si="3"/>
        <v>87.240618613220661</v>
      </c>
      <c r="T33">
        <f t="shared" si="0"/>
        <v>1.1419770272080123E-2</v>
      </c>
      <c r="U33" s="18">
        <f t="shared" si="1"/>
        <v>1.3040973581750876E-4</v>
      </c>
      <c r="V33" s="19">
        <f t="shared" si="2"/>
        <v>-21.165111969124332</v>
      </c>
      <c r="AD33" s="27"/>
    </row>
    <row r="34" spans="19:30" x14ac:dyDescent="0.35">
      <c r="S34" s="12">
        <f t="shared" si="3"/>
        <v>95.136569200217735</v>
      </c>
      <c r="T34">
        <f t="shared" si="0"/>
        <v>1.2453347786964209E-2</v>
      </c>
      <c r="U34" s="18">
        <f t="shared" si="1"/>
        <v>1.5508386681116297E-4</v>
      </c>
      <c r="V34" s="19">
        <f t="shared" si="2"/>
        <v>-20.406335330601451</v>
      </c>
      <c r="AD34" s="27"/>
    </row>
    <row r="35" spans="19:30" x14ac:dyDescent="0.35">
      <c r="S35" s="12">
        <f t="shared" si="3"/>
        <v>103.74716437208083</v>
      </c>
      <c r="T35">
        <f t="shared" si="0"/>
        <v>1.3580472059254244E-2</v>
      </c>
      <c r="U35" s="18">
        <f t="shared" si="1"/>
        <v>1.8442638685813666E-4</v>
      </c>
      <c r="V35" s="19">
        <f t="shared" si="2"/>
        <v>-19.646397315288269</v>
      </c>
      <c r="AD35" s="27"/>
    </row>
    <row r="36" spans="19:30" x14ac:dyDescent="0.35">
      <c r="S36" s="12">
        <f t="shared" si="3"/>
        <v>113.13708498984766</v>
      </c>
      <c r="T36">
        <f t="shared" si="0"/>
        <v>1.4809609793861228E-2</v>
      </c>
      <c r="U36" s="18">
        <f t="shared" si="1"/>
        <v>2.1932053367116719E-4</v>
      </c>
      <c r="V36" s="19">
        <f t="shared" si="2"/>
        <v>-18.885083276958937</v>
      </c>
      <c r="AD36" s="27"/>
    </row>
    <row r="37" spans="19:30" x14ac:dyDescent="0.35">
      <c r="S37" s="12">
        <f t="shared" si="3"/>
        <v>123.37686603263533</v>
      </c>
      <c r="T37">
        <f t="shared" si="0"/>
        <v>1.6149993997960802E-2</v>
      </c>
      <c r="U37" s="18">
        <f t="shared" si="1"/>
        <v>2.6081663716050852E-4</v>
      </c>
      <c r="V37" s="19">
        <f t="shared" si="2"/>
        <v>-18.122140146588322</v>
      </c>
      <c r="AD37" s="27"/>
    </row>
    <row r="38" spans="19:30" x14ac:dyDescent="0.35">
      <c r="S38" s="12">
        <f t="shared" si="3"/>
        <v>134.5434264405944</v>
      </c>
      <c r="T38">
        <f t="shared" si="0"/>
        <v>1.7611693337273755E-2</v>
      </c>
      <c r="U38" s="18">
        <f t="shared" si="1"/>
        <v>3.1016372507992407E-4</v>
      </c>
      <c r="V38" s="19">
        <f t="shared" si="2"/>
        <v>-17.357270124300555</v>
      </c>
      <c r="AD38" s="27"/>
    </row>
    <row r="39" spans="19:30" x14ac:dyDescent="0.35">
      <c r="S39" s="12">
        <f t="shared" si="3"/>
        <v>146.72064691274747</v>
      </c>
      <c r="T39">
        <f t="shared" si="0"/>
        <v>1.9205687769626226E-2</v>
      </c>
      <c r="U39" s="18">
        <f t="shared" si="1"/>
        <v>3.6884710479787779E-4</v>
      </c>
      <c r="V39" s="19">
        <f t="shared" si="2"/>
        <v>-16.590123614037594</v>
      </c>
      <c r="AD39" s="27"/>
    </row>
    <row r="40" spans="19:30" x14ac:dyDescent="0.35">
      <c r="S40" s="12">
        <f t="shared" si="3"/>
        <v>160.00000000000009</v>
      </c>
      <c r="T40">
        <f t="shared" ref="T40:T71" si="4">2*PI()*S40/$B$6</f>
        <v>2.0943951023931966E-2</v>
      </c>
      <c r="U40" s="18">
        <f t="shared" ref="U40:U71" si="5">4*SIN(T40/2)^2</f>
        <v>4.3863305030903126E-4</v>
      </c>
      <c r="V40" s="19">
        <f t="shared" ref="V40:V71" si="6">10*LOG10(($B$15+$B$16+$B$17)^2 + ( $B$15*$B$17*U40 - ($B$16*($B$15+$B$17) + 4*$B$15*$B$17) )*U40 )  - 10*LOG10( (1+$Z$2+$Z$3)^2 + ( 1*$Z$3*U40 - ($Z$2*(1+$Z$3) + 4*1*$Z$3) )*U40)</f>
        <v>-15.820291464657757</v>
      </c>
      <c r="AD40" s="27"/>
    </row>
    <row r="41" spans="19:30" x14ac:dyDescent="0.35">
      <c r="S41" s="12">
        <f t="shared" ref="S41:S72" si="7">S40*2^(1/8)</f>
        <v>174.48123722644132</v>
      </c>
      <c r="T41">
        <f t="shared" si="4"/>
        <v>2.2839540544160247E-2</v>
      </c>
      <c r="U41" s="18">
        <f t="shared" si="5"/>
        <v>5.21621936570839E-4</v>
      </c>
      <c r="V41" s="19">
        <f t="shared" si="6"/>
        <v>-15.047296697349701</v>
      </c>
      <c r="AD41" s="27"/>
    </row>
    <row r="42" spans="19:30" x14ac:dyDescent="0.35">
      <c r="S42" s="12">
        <f t="shared" si="7"/>
        <v>190.27313840043547</v>
      </c>
      <c r="T42">
        <f t="shared" si="4"/>
        <v>2.4906695573928418E-2</v>
      </c>
      <c r="U42" s="18">
        <f t="shared" si="5"/>
        <v>6.2031141623890697E-4</v>
      </c>
      <c r="V42" s="19">
        <f t="shared" si="6"/>
        <v>-14.270586093474648</v>
      </c>
      <c r="AD42" s="27"/>
    </row>
    <row r="43" spans="19:30" x14ac:dyDescent="0.35">
      <c r="S43" s="12">
        <f t="shared" si="7"/>
        <v>207.49432874416166</v>
      </c>
      <c r="T43">
        <f t="shared" si="4"/>
        <v>2.7160944118508487E-2</v>
      </c>
      <c r="U43" s="18">
        <f t="shared" si="5"/>
        <v>7.3767153434037692E-4</v>
      </c>
      <c r="V43" s="19">
        <f t="shared" si="6"/>
        <v>-13.489522336388148</v>
      </c>
      <c r="AD43" s="27"/>
    </row>
    <row r="44" spans="19:30" x14ac:dyDescent="0.35">
      <c r="S44" s="12">
        <f t="shared" si="7"/>
        <v>226.27416997969533</v>
      </c>
      <c r="T44">
        <f t="shared" si="4"/>
        <v>2.9619219587722456E-2</v>
      </c>
      <c r="U44" s="18">
        <f t="shared" si="5"/>
        <v>8.7723403318817894E-4</v>
      </c>
      <c r="V44" s="19">
        <f t="shared" si="6"/>
        <v>-12.703377921421129</v>
      </c>
      <c r="AD44" s="27"/>
    </row>
    <row r="45" spans="19:30" x14ac:dyDescent="0.35">
      <c r="S45" s="12">
        <f t="shared" si="7"/>
        <v>246.75373206527067</v>
      </c>
      <c r="T45">
        <f t="shared" si="4"/>
        <v>3.2299987995921604E-2</v>
      </c>
      <c r="U45" s="18">
        <f t="shared" si="5"/>
        <v>1.0431985233238144E-3</v>
      </c>
      <c r="V45" s="19">
        <f t="shared" si="6"/>
        <v>-11.911332893004264</v>
      </c>
      <c r="AD45" s="27"/>
    </row>
    <row r="46" spans="19:30" x14ac:dyDescent="0.35">
      <c r="S46" s="12">
        <f t="shared" si="7"/>
        <v>269.0868528811888</v>
      </c>
      <c r="T46">
        <f t="shared" si="4"/>
        <v>3.522338667454751E-2</v>
      </c>
      <c r="U46" s="18">
        <f t="shared" si="5"/>
        <v>1.2405586987833408E-3</v>
      </c>
      <c r="V46" s="19">
        <f t="shared" si="6"/>
        <v>-11.112479836627394</v>
      </c>
      <c r="AD46" s="27"/>
    </row>
    <row r="47" spans="19:30" x14ac:dyDescent="0.35">
      <c r="S47" s="12">
        <f t="shared" si="7"/>
        <v>293.44129382549494</v>
      </c>
      <c r="T47">
        <f t="shared" si="4"/>
        <v>3.8411375539252453E-2</v>
      </c>
      <c r="U47" s="18">
        <f t="shared" si="5"/>
        <v>1.4752523710047933E-3</v>
      </c>
      <c r="V47" s="19">
        <f t="shared" si="6"/>
        <v>-10.30584177055777</v>
      </c>
      <c r="AD47" s="27"/>
    </row>
    <row r="48" spans="19:30" x14ac:dyDescent="0.35">
      <c r="S48" s="12">
        <f t="shared" si="7"/>
        <v>320.00000000000017</v>
      </c>
      <c r="T48">
        <f t="shared" si="4"/>
        <v>4.1887902047863933E-2</v>
      </c>
      <c r="U48" s="18">
        <f t="shared" si="5"/>
        <v>1.7543398022833016E-3</v>
      </c>
      <c r="V48" s="19">
        <f t="shared" si="6"/>
        <v>-9.490412173561019</v>
      </c>
      <c r="AD48" s="27"/>
    </row>
    <row r="49" spans="19:30" x14ac:dyDescent="0.35">
      <c r="S49" s="12">
        <f t="shared" si="7"/>
        <v>348.96247445288265</v>
      </c>
      <c r="T49">
        <f t="shared" si="4"/>
        <v>4.5679081088320493E-2</v>
      </c>
      <c r="U49" s="18">
        <f t="shared" si="5"/>
        <v>2.086215656838644E-3</v>
      </c>
      <c r="V49" s="19">
        <f t="shared" si="6"/>
        <v>-8.6652321910056571</v>
      </c>
      <c r="AD49" s="27"/>
    </row>
    <row r="50" spans="19:30" x14ac:dyDescent="0.35">
      <c r="S50" s="12">
        <f t="shared" si="7"/>
        <v>380.54627680087094</v>
      </c>
      <c r="T50">
        <f t="shared" si="4"/>
        <v>4.9813391147856836E-2</v>
      </c>
      <c r="U50" s="18">
        <f t="shared" si="5"/>
        <v>2.480860878702511E-3</v>
      </c>
      <c r="V50" s="19">
        <f t="shared" si="6"/>
        <v>-7.8295293917249253</v>
      </c>
      <c r="AD50" s="27"/>
    </row>
    <row r="51" spans="19:30" x14ac:dyDescent="0.35">
      <c r="S51" s="12">
        <f t="shared" si="7"/>
        <v>414.98865748832333</v>
      </c>
      <c r="T51">
        <f t="shared" si="4"/>
        <v>5.4321888237016974E-2</v>
      </c>
      <c r="U51" s="18">
        <f t="shared" si="5"/>
        <v>2.9501419780689321E-3</v>
      </c>
      <c r="V51" s="19">
        <f t="shared" si="6"/>
        <v>-6.9829572270343192</v>
      </c>
      <c r="AD51" s="27"/>
    </row>
    <row r="52" spans="19:30" x14ac:dyDescent="0.35">
      <c r="S52" s="12">
        <f t="shared" si="7"/>
        <v>452.54833995939066</v>
      </c>
      <c r="T52">
        <f t="shared" si="4"/>
        <v>5.9238439175444912E-2</v>
      </c>
      <c r="U52" s="18">
        <f t="shared" si="5"/>
        <v>3.5081665932037319E-3</v>
      </c>
      <c r="V52" s="19">
        <f t="shared" si="6"/>
        <v>-6.1259970584504302</v>
      </c>
      <c r="AD52" s="27"/>
    </row>
    <row r="53" spans="19:30" x14ac:dyDescent="0.35">
      <c r="S53" s="12">
        <f t="shared" si="7"/>
        <v>493.50746413054134</v>
      </c>
      <c r="T53">
        <f t="shared" si="4"/>
        <v>6.4599975991843209E-2</v>
      </c>
      <c r="U53" s="18">
        <f t="shared" si="5"/>
        <v>4.1717058301361928E-3</v>
      </c>
      <c r="V53" s="19">
        <f t="shared" si="6"/>
        <v>-5.2606174233174272</v>
      </c>
      <c r="AD53" s="27"/>
    </row>
    <row r="54" spans="19:30" x14ac:dyDescent="0.35">
      <c r="S54" s="12">
        <f t="shared" si="7"/>
        <v>538.17370576237761</v>
      </c>
      <c r="T54">
        <f t="shared" si="4"/>
        <v>7.0446773349095021E-2</v>
      </c>
      <c r="U54" s="18">
        <f t="shared" si="5"/>
        <v>4.9606958092482363E-3</v>
      </c>
      <c r="V54" s="19">
        <f t="shared" si="6"/>
        <v>-4.3913263802793523</v>
      </c>
      <c r="AD54" s="27"/>
    </row>
    <row r="55" spans="19:30" x14ac:dyDescent="0.35">
      <c r="S55" s="12">
        <f t="shared" si="7"/>
        <v>586.88258765098988</v>
      </c>
      <c r="T55">
        <f t="shared" si="4"/>
        <v>7.6822751078504906E-2</v>
      </c>
      <c r="U55" s="18">
        <f t="shared" si="5"/>
        <v>5.8988331144610179E-3</v>
      </c>
      <c r="V55" s="19">
        <f t="shared" si="6"/>
        <v>-3.5267862514386508</v>
      </c>
      <c r="AD55" s="27"/>
    </row>
    <row r="56" spans="19:30" x14ac:dyDescent="0.35">
      <c r="S56" s="12">
        <f t="shared" si="7"/>
        <v>640.00000000000034</v>
      </c>
      <c r="T56">
        <f t="shared" si="4"/>
        <v>8.3775804095727865E-2</v>
      </c>
      <c r="U56" s="18">
        <f t="shared" si="5"/>
        <v>7.0142815009913307E-3</v>
      </c>
      <c r="V56" s="19">
        <f t="shared" si="6"/>
        <v>-2.6821299496739002</v>
      </c>
      <c r="AD56" s="27"/>
    </row>
    <row r="57" spans="19:30" x14ac:dyDescent="0.35">
      <c r="S57" s="12">
        <f t="shared" si="7"/>
        <v>697.92494890576529</v>
      </c>
      <c r="T57">
        <f t="shared" si="4"/>
        <v>9.1358162176640986E-2</v>
      </c>
      <c r="U57" s="18">
        <f t="shared" si="5"/>
        <v>8.3405103315877388E-3</v>
      </c>
      <c r="V57" s="19">
        <f t="shared" si="6"/>
        <v>-1.8818821252950215</v>
      </c>
      <c r="AD57" s="27"/>
    </row>
    <row r="58" spans="19:30" x14ac:dyDescent="0.35">
      <c r="S58" s="12">
        <f t="shared" si="7"/>
        <v>761.09255360174188</v>
      </c>
      <c r="T58">
        <f t="shared" si="4"/>
        <v>9.9626782295713673E-2</v>
      </c>
      <c r="U58" s="18">
        <f t="shared" si="5"/>
        <v>9.9172888441105677E-3</v>
      </c>
      <c r="V58" s="19">
        <f t="shared" si="6"/>
        <v>-1.1626857362852263</v>
      </c>
      <c r="AD58" s="27"/>
    </row>
    <row r="59" spans="19:30" x14ac:dyDescent="0.35">
      <c r="S59" s="12">
        <f t="shared" si="7"/>
        <v>829.97731497664665</v>
      </c>
      <c r="T59">
        <f t="shared" si="4"/>
        <v>0.10864377647403395</v>
      </c>
      <c r="U59" s="18">
        <f t="shared" si="5"/>
        <v>1.1791864574584964E-2</v>
      </c>
      <c r="V59" s="19">
        <f t="shared" si="6"/>
        <v>-0.5736593594020718</v>
      </c>
      <c r="AD59" s="27"/>
    </row>
    <row r="60" spans="19:30" x14ac:dyDescent="0.35">
      <c r="S60" s="12">
        <f t="shared" si="7"/>
        <v>905.09667991878132</v>
      </c>
      <c r="T60">
        <f t="shared" si="4"/>
        <v>0.11847687835088982</v>
      </c>
      <c r="U60" s="18">
        <f t="shared" si="5"/>
        <v>1.4020359139969256E-2</v>
      </c>
      <c r="V60" s="19">
        <f t="shared" si="6"/>
        <v>-0.17079723732876317</v>
      </c>
      <c r="AD60" s="27"/>
    </row>
    <row r="61" spans="19:30" x14ac:dyDescent="0.35">
      <c r="S61" s="12">
        <f t="shared" si="7"/>
        <v>987.01492826108267</v>
      </c>
      <c r="T61">
        <f t="shared" si="4"/>
        <v>0.12919995198368642</v>
      </c>
      <c r="U61" s="18">
        <f t="shared" si="5"/>
        <v>1.6669420191011579E-2</v>
      </c>
      <c r="V61" s="19">
        <f t="shared" si="6"/>
        <v>-2.9835171537584415E-3</v>
      </c>
      <c r="AD61" s="27"/>
    </row>
    <row r="62" spans="19:30" x14ac:dyDescent="0.35">
      <c r="S62" s="12">
        <f t="shared" si="7"/>
        <v>1076.3474115247552</v>
      </c>
      <c r="T62">
        <f t="shared" si="4"/>
        <v>0.14089354669819004</v>
      </c>
      <c r="U62" s="18">
        <f t="shared" si="5"/>
        <v>1.9818174734081057E-2</v>
      </c>
      <c r="V62" s="19">
        <f t="shared" si="6"/>
        <v>-9.3767006361971994E-2</v>
      </c>
      <c r="AD62" s="27"/>
    </row>
    <row r="63" spans="19:30" x14ac:dyDescent="0.35">
      <c r="S63" s="12">
        <f t="shared" si="7"/>
        <v>1173.7651753019798</v>
      </c>
      <c r="T63">
        <f t="shared" si="4"/>
        <v>0.15364550215700981</v>
      </c>
      <c r="U63" s="18">
        <f t="shared" si="5"/>
        <v>2.3560536225731808E-2</v>
      </c>
      <c r="V63" s="19">
        <f t="shared" si="6"/>
        <v>-0.43073388846472938</v>
      </c>
      <c r="AD63" s="27"/>
    </row>
    <row r="64" spans="19:30" x14ac:dyDescent="0.35">
      <c r="S64" s="12">
        <f t="shared" si="7"/>
        <v>1280.0000000000007</v>
      </c>
      <c r="T64">
        <f t="shared" si="4"/>
        <v>0.16755160819145573</v>
      </c>
      <c r="U64" s="18">
        <f t="shared" si="5"/>
        <v>2.8007925858990177E-2</v>
      </c>
      <c r="V64" s="19">
        <f t="shared" si="6"/>
        <v>-0.97130421167606329</v>
      </c>
      <c r="AD64" s="27"/>
    </row>
    <row r="65" spans="19:30" x14ac:dyDescent="0.35">
      <c r="S65" s="12">
        <f t="shared" si="7"/>
        <v>1395.8498978115306</v>
      </c>
      <c r="T65">
        <f t="shared" si="4"/>
        <v>0.18271632435328197</v>
      </c>
      <c r="U65" s="18">
        <f t="shared" si="5"/>
        <v>3.3292477213759629E-2</v>
      </c>
      <c r="V65" s="19">
        <f t="shared" si="6"/>
        <v>-1.6599973722237138</v>
      </c>
      <c r="AD65" s="27"/>
    </row>
    <row r="66" spans="19:30" x14ac:dyDescent="0.35">
      <c r="S66" s="12">
        <f t="shared" si="7"/>
        <v>1522.1851072034838</v>
      </c>
      <c r="T66">
        <f t="shared" si="4"/>
        <v>0.19925356459142735</v>
      </c>
      <c r="U66" s="18">
        <f t="shared" si="5"/>
        <v>3.9570802758424749E-2</v>
      </c>
      <c r="V66" s="19">
        <f t="shared" si="6"/>
        <v>-2.4446664152317155</v>
      </c>
      <c r="AD66" s="27"/>
    </row>
    <row r="67" spans="19:30" x14ac:dyDescent="0.35">
      <c r="S67" s="12">
        <f t="shared" si="7"/>
        <v>1659.9546299532933</v>
      </c>
      <c r="T67">
        <f t="shared" si="4"/>
        <v>0.2172875529480679</v>
      </c>
      <c r="U67" s="18">
        <f t="shared" si="5"/>
        <v>4.7028410228194505E-2</v>
      </c>
      <c r="V67" s="19">
        <f t="shared" si="6"/>
        <v>-3.2847043398651046</v>
      </c>
      <c r="AD67" s="27"/>
    </row>
    <row r="68" spans="19:30" x14ac:dyDescent="0.35">
      <c r="S68" s="12">
        <f t="shared" si="7"/>
        <v>1810.1933598375626</v>
      </c>
      <c r="T68">
        <f t="shared" si="4"/>
        <v>0.23695375670177965</v>
      </c>
      <c r="U68" s="18">
        <f t="shared" si="5"/>
        <v>5.588486608946331E-2</v>
      </c>
      <c r="V68" s="19">
        <f t="shared" si="6"/>
        <v>-4.152166367500449</v>
      </c>
      <c r="AD68" s="27"/>
    </row>
    <row r="69" spans="19:30" x14ac:dyDescent="0.35">
      <c r="S69" s="12">
        <f t="shared" si="7"/>
        <v>1974.0298565221653</v>
      </c>
      <c r="T69">
        <f t="shared" si="4"/>
        <v>0.25839990396737283</v>
      </c>
      <c r="U69" s="18">
        <f t="shared" si="5"/>
        <v>6.6399811194541802E-2</v>
      </c>
      <c r="V69" s="19">
        <f t="shared" si="6"/>
        <v>-5.0294862837736005</v>
      </c>
      <c r="AD69" s="27"/>
    </row>
    <row r="70" spans="19:30" x14ac:dyDescent="0.35">
      <c r="S70" s="12">
        <f t="shared" si="7"/>
        <v>2152.6948230495104</v>
      </c>
      <c r="T70">
        <f t="shared" si="4"/>
        <v>0.28178709339638008</v>
      </c>
      <c r="U70" s="18">
        <f t="shared" si="5"/>
        <v>7.8879938886533649E-2</v>
      </c>
      <c r="V70" s="19">
        <f t="shared" si="6"/>
        <v>-5.9064855923750557</v>
      </c>
      <c r="AD70" s="27"/>
    </row>
    <row r="71" spans="19:30" x14ac:dyDescent="0.35">
      <c r="S71" s="12">
        <f t="shared" si="7"/>
        <v>2347.5303506039595</v>
      </c>
      <c r="T71">
        <f t="shared" si="4"/>
        <v>0.30729100431401962</v>
      </c>
      <c r="U71" s="18">
        <f t="shared" si="5"/>
        <v>9.3687046035683216E-2</v>
      </c>
      <c r="V71" s="19">
        <f t="shared" si="6"/>
        <v>-6.777841431154819</v>
      </c>
      <c r="AD71" s="27"/>
    </row>
    <row r="72" spans="19:30" x14ac:dyDescent="0.35">
      <c r="S72" s="12">
        <f t="shared" si="7"/>
        <v>2560.0000000000014</v>
      </c>
      <c r="T72">
        <f t="shared" ref="T72:T96" si="8">2*PI()*S72/$B$6</f>
        <v>0.33510321638291146</v>
      </c>
      <c r="U72" s="18">
        <f t="shared" ref="U72:U96" si="9">4*SIN(T72/2)^2</f>
        <v>0.11124725952503801</v>
      </c>
      <c r="V72" s="19">
        <f t="shared" ref="V72:V96" si="10">10*LOG10(($B$15+$B$16+$B$17)^2 + ( $B$15*$B$17*U72 - ($B$16*($B$15+$B$17) + 4*$B$15*$B$17) )*U72 )  - 10*LOG10( (1+$Z$2+$Z$3)^2 + ( 1*$Z$3*U72 - ($Z$2*(1+$Z$3) + 4*1*$Z$3) )*U72)</f>
        <v>-7.6412684928735999</v>
      </c>
      <c r="AD72" s="27"/>
    </row>
    <row r="73" spans="19:30" x14ac:dyDescent="0.35">
      <c r="S73" s="12">
        <f t="shared" ref="S73:S96" si="11">S72*2^(1/8)</f>
        <v>2791.6997956230612</v>
      </c>
      <c r="T73">
        <f t="shared" si="8"/>
        <v>0.36543264870656395</v>
      </c>
      <c r="U73" s="18">
        <f t="shared" si="9"/>
        <v>0.1320615198160098</v>
      </c>
      <c r="V73" s="19">
        <f t="shared" si="10"/>
        <v>-8.4963187585890729</v>
      </c>
      <c r="AD73" s="27"/>
    </row>
    <row r="74" spans="19:30" x14ac:dyDescent="0.35">
      <c r="S74" s="12">
        <f t="shared" si="11"/>
        <v>3044.3702144069675</v>
      </c>
      <c r="T74">
        <f t="shared" si="8"/>
        <v>0.39850712918285469</v>
      </c>
      <c r="U74" s="18">
        <f t="shared" si="9"/>
        <v>0.15671736260275285</v>
      </c>
      <c r="V74" s="19">
        <f t="shared" si="10"/>
        <v>-9.3436284153643818</v>
      </c>
      <c r="AD74" s="27"/>
    </row>
    <row r="75" spans="19:30" x14ac:dyDescent="0.35">
      <c r="S75" s="12">
        <f t="shared" si="11"/>
        <v>3319.9092599065866</v>
      </c>
      <c r="T75">
        <f t="shared" si="8"/>
        <v>0.43457510589613579</v>
      </c>
      <c r="U75" s="18">
        <f t="shared" si="9"/>
        <v>0.18590196954418667</v>
      </c>
      <c r="V75" s="19">
        <f t="shared" si="10"/>
        <v>-10.184463791179633</v>
      </c>
      <c r="AD75" s="27"/>
    </row>
    <row r="76" spans="19:30" x14ac:dyDescent="0.35">
      <c r="S76" s="12">
        <f t="shared" si="11"/>
        <v>3620.3867196751253</v>
      </c>
      <c r="T76">
        <f t="shared" si="8"/>
        <v>0.4739075134035593</v>
      </c>
      <c r="U76" s="18">
        <f t="shared" si="9"/>
        <v>0.22041634610001598</v>
      </c>
      <c r="V76" s="19">
        <f t="shared" si="10"/>
        <v>-11.02046001047864</v>
      </c>
      <c r="AD76" s="27"/>
    </row>
    <row r="77" spans="19:30" x14ac:dyDescent="0.35">
      <c r="S77" s="12">
        <f t="shared" si="11"/>
        <v>3948.0597130443307</v>
      </c>
      <c r="T77">
        <f t="shared" si="8"/>
        <v>0.51679980793474567</v>
      </c>
      <c r="U77" s="18">
        <f t="shared" si="9"/>
        <v>0.26119030985149644</v>
      </c>
      <c r="V77" s="19">
        <f t="shared" si="10"/>
        <v>-11.853482388068937</v>
      </c>
      <c r="AD77" s="27"/>
    </row>
    <row r="78" spans="19:30" x14ac:dyDescent="0.35">
      <c r="S78" s="12">
        <f t="shared" si="11"/>
        <v>4305.3896460990209</v>
      </c>
      <c r="T78">
        <f t="shared" si="8"/>
        <v>0.56357418679276017</v>
      </c>
      <c r="U78" s="18">
        <f t="shared" si="9"/>
        <v>0.30929771078739127</v>
      </c>
      <c r="V78" s="19">
        <f t="shared" si="10"/>
        <v>-12.685566746966323</v>
      </c>
      <c r="AD78" s="27"/>
    </row>
    <row r="79" spans="19:30" x14ac:dyDescent="0.35">
      <c r="S79" s="12">
        <f t="shared" si="11"/>
        <v>4695.060701207919</v>
      </c>
      <c r="T79">
        <f t="shared" si="8"/>
        <v>0.61458200862803924</v>
      </c>
      <c r="U79" s="18">
        <f t="shared" si="9"/>
        <v>0.36597092154784067</v>
      </c>
      <c r="V79" s="19">
        <f t="shared" si="10"/>
        <v>-13.518912438330108</v>
      </c>
      <c r="AD79" s="27"/>
    </row>
    <row r="80" spans="19:30" x14ac:dyDescent="0.35">
      <c r="S80" s="12">
        <f t="shared" si="11"/>
        <v>5120.0000000000027</v>
      </c>
      <c r="T80">
        <f t="shared" si="8"/>
        <v>0.67020643276582292</v>
      </c>
      <c r="U80" s="18">
        <f t="shared" si="9"/>
        <v>0.43261308534832082</v>
      </c>
      <c r="V80" s="19">
        <f t="shared" si="10"/>
        <v>-14.355913495764513</v>
      </c>
      <c r="AD80" s="27"/>
    </row>
    <row r="81" spans="19:30" x14ac:dyDescent="0.35">
      <c r="S81" s="12">
        <f t="shared" si="11"/>
        <v>5583.3995912461223</v>
      </c>
      <c r="T81">
        <f t="shared" si="8"/>
        <v>0.73086529741312789</v>
      </c>
      <c r="U81" s="18">
        <f t="shared" si="9"/>
        <v>0.51080583424792492</v>
      </c>
      <c r="V81" s="19">
        <f t="shared" si="10"/>
        <v>-15.199221338779491</v>
      </c>
      <c r="AD81" s="27"/>
    </row>
    <row r="82" spans="19:30" x14ac:dyDescent="0.35">
      <c r="S82" s="12">
        <f t="shared" si="11"/>
        <v>6088.7404288139351</v>
      </c>
      <c r="T82">
        <f t="shared" si="8"/>
        <v>0.79701425836570938</v>
      </c>
      <c r="U82" s="18">
        <f t="shared" si="9"/>
        <v>0.60230911866984871</v>
      </c>
      <c r="V82" s="19">
        <f t="shared" si="10"/>
        <v>-16.051838464487115</v>
      </c>
      <c r="AD82" s="27"/>
    </row>
    <row r="83" spans="19:30" x14ac:dyDescent="0.35">
      <c r="S83" s="12">
        <f t="shared" si="11"/>
        <v>6639.8185198131732</v>
      </c>
      <c r="T83">
        <f t="shared" si="8"/>
        <v>0.86915021179227159</v>
      </c>
      <c r="U83" s="18">
        <f t="shared" si="9"/>
        <v>0.70904833589633898</v>
      </c>
      <c r="V83" s="19">
        <f t="shared" si="10"/>
        <v>-16.917247971681284</v>
      </c>
      <c r="AD83" s="27"/>
    </row>
    <row r="84" spans="19:30" x14ac:dyDescent="0.35">
      <c r="S84" s="12">
        <f t="shared" si="11"/>
        <v>7240.7734393502506</v>
      </c>
      <c r="T84">
        <f t="shared" si="8"/>
        <v>0.9478150268071186</v>
      </c>
      <c r="U84" s="18">
        <f t="shared" si="9"/>
        <v>0.83308201877198185</v>
      </c>
      <c r="V84" s="19">
        <f t="shared" si="10"/>
        <v>-17.799589785759345</v>
      </c>
      <c r="AD84" s="27"/>
    </row>
    <row r="85" spans="19:30" x14ac:dyDescent="0.35">
      <c r="S85" s="12">
        <f t="shared" si="11"/>
        <v>7896.1194260886614</v>
      </c>
      <c r="T85">
        <f t="shared" si="8"/>
        <v>1.0335996158694913</v>
      </c>
      <c r="U85" s="18">
        <f t="shared" si="9"/>
        <v>0.9765408614456651</v>
      </c>
      <c r="V85" s="19">
        <f t="shared" si="10"/>
        <v>-18.703902578483024</v>
      </c>
      <c r="AD85" s="27"/>
    </row>
    <row r="86" spans="19:30" x14ac:dyDescent="0.35">
      <c r="S86" s="12">
        <f t="shared" si="11"/>
        <v>8610.7792921980417</v>
      </c>
      <c r="T86">
        <f t="shared" si="8"/>
        <v>1.1271483735855203</v>
      </c>
      <c r="U86" s="18">
        <f t="shared" si="9"/>
        <v>1.1415257692512444</v>
      </c>
      <c r="V86" s="19">
        <f t="shared" si="10"/>
        <v>-19.636462845330158</v>
      </c>
      <c r="AD86" s="27"/>
    </row>
    <row r="87" spans="19:30" x14ac:dyDescent="0.35">
      <c r="S87" s="12">
        <f t="shared" si="11"/>
        <v>9390.121402415838</v>
      </c>
      <c r="T87">
        <f t="shared" si="8"/>
        <v>1.2291640172560785</v>
      </c>
      <c r="U87" s="18">
        <f t="shared" si="9"/>
        <v>1.3299489707727872</v>
      </c>
      <c r="V87" s="19">
        <f t="shared" si="10"/>
        <v>-20.605273361213758</v>
      </c>
      <c r="AD87" s="27"/>
    </row>
    <row r="88" spans="19:30" x14ac:dyDescent="0.35">
      <c r="S88" s="12">
        <f t="shared" si="11"/>
        <v>10240.000000000005</v>
      </c>
      <c r="T88">
        <f t="shared" si="8"/>
        <v>1.3404128655316458</v>
      </c>
      <c r="U88" s="18">
        <f t="shared" si="9"/>
        <v>1.54329825977869</v>
      </c>
      <c r="V88" s="19">
        <f t="shared" si="10"/>
        <v>-21.620789897647139</v>
      </c>
      <c r="AD88" s="27"/>
    </row>
    <row r="89" spans="19:30" x14ac:dyDescent="0.35">
      <c r="S89" s="12">
        <f t="shared" si="11"/>
        <v>11166.799182492245</v>
      </c>
      <c r="T89">
        <f t="shared" si="8"/>
        <v>1.4617305948262558</v>
      </c>
      <c r="U89" s="18">
        <f t="shared" si="9"/>
        <v>1.7823007366899815</v>
      </c>
      <c r="V89" s="19">
        <f t="shared" si="10"/>
        <v>-22.697043395181183</v>
      </c>
      <c r="AD89" s="27"/>
    </row>
    <row r="90" spans="19:30" x14ac:dyDescent="0.35">
      <c r="S90" s="12">
        <f t="shared" si="11"/>
        <v>12177.48085762787</v>
      </c>
      <c r="T90">
        <f t="shared" si="8"/>
        <v>1.5940285167314188</v>
      </c>
      <c r="U90" s="18">
        <f t="shared" si="9"/>
        <v>2.0464602002465448</v>
      </c>
      <c r="V90" s="19">
        <f t="shared" si="10"/>
        <v>-23.85344953906213</v>
      </c>
      <c r="AD90" s="27"/>
    </row>
    <row r="91" spans="19:30" x14ac:dyDescent="0.35">
      <c r="S91" s="12">
        <f t="shared" si="11"/>
        <v>13279.637039626346</v>
      </c>
      <c r="T91">
        <f t="shared" si="8"/>
        <v>1.7383004235845432</v>
      </c>
      <c r="U91" s="18">
        <f t="shared" si="9"/>
        <v>2.3334438009479883</v>
      </c>
      <c r="V91" s="19">
        <f t="shared" si="10"/>
        <v>-25.117881746647157</v>
      </c>
      <c r="AD91" s="27"/>
    </row>
    <row r="92" spans="19:30" x14ac:dyDescent="0.35">
      <c r="S92" s="12">
        <f t="shared" si="11"/>
        <v>14481.546878700501</v>
      </c>
      <c r="T92">
        <f t="shared" si="8"/>
        <v>1.8956300536142372</v>
      </c>
      <c r="U92" s="18">
        <f t="shared" si="9"/>
        <v>2.6383024250867271</v>
      </c>
      <c r="V92" s="19">
        <f t="shared" si="10"/>
        <v>-26.532232785831134</v>
      </c>
      <c r="AD92" s="27"/>
    </row>
    <row r="93" spans="19:30" x14ac:dyDescent="0.35">
      <c r="S93" s="12">
        <f t="shared" si="11"/>
        <v>15792.238852177323</v>
      </c>
      <c r="T93">
        <f t="shared" si="8"/>
        <v>2.0671992317389827</v>
      </c>
      <c r="U93" s="18">
        <f t="shared" si="9"/>
        <v>2.952531391709619</v>
      </c>
      <c r="V93" s="19">
        <f t="shared" si="10"/>
        <v>-28.163333521738718</v>
      </c>
      <c r="AD93" s="27"/>
    </row>
    <row r="94" spans="19:30" x14ac:dyDescent="0.35">
      <c r="S94" s="12">
        <f t="shared" si="11"/>
        <v>17221.558584396083</v>
      </c>
      <c r="T94">
        <f t="shared" si="8"/>
        <v>2.2542967471710407</v>
      </c>
      <c r="U94" s="18">
        <f t="shared" si="9"/>
        <v>3.2630219951403325</v>
      </c>
      <c r="V94" s="19">
        <f t="shared" si="10"/>
        <v>-30.126855309609184</v>
      </c>
      <c r="AD94" s="27"/>
    </row>
    <row r="95" spans="19:30" x14ac:dyDescent="0.35">
      <c r="S95" s="12">
        <f t="shared" si="11"/>
        <v>18780.242804831676</v>
      </c>
      <c r="T95">
        <f t="shared" si="8"/>
        <v>2.458328034512157</v>
      </c>
      <c r="U95" s="18">
        <f t="shared" si="9"/>
        <v>3.5510316182315527</v>
      </c>
      <c r="V95" s="19">
        <f t="shared" si="10"/>
        <v>-32.648441940614617</v>
      </c>
      <c r="AD95" s="27"/>
    </row>
    <row r="96" spans="19:30" x14ac:dyDescent="0.35">
      <c r="S96" s="12">
        <f t="shared" si="11"/>
        <v>20480.000000000011</v>
      </c>
      <c r="T96">
        <f t="shared" si="8"/>
        <v>2.6808257310632917</v>
      </c>
      <c r="U96" s="18">
        <f t="shared" si="9"/>
        <v>3.7914235204788267</v>
      </c>
      <c r="V96" s="19">
        <f t="shared" si="10"/>
        <v>-36.263755767640788</v>
      </c>
      <c r="AD96" s="27"/>
    </row>
    <row r="97" spans="19:30" x14ac:dyDescent="0.35">
      <c r="S97" s="12"/>
      <c r="U97" s="18"/>
      <c r="V97" s="19"/>
      <c r="AD97" s="27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3" max="25" width="10.54296875" bestFit="1" customWidth="1"/>
    <col min="26" max="27" width="17.54296875" bestFit="1" customWidth="1"/>
    <col min="28" max="28" width="18.54296875" bestFit="1" customWidth="1"/>
    <col min="29" max="29" width="12.7265625" bestFit="1" customWidth="1"/>
    <col min="30" max="30" width="12.7265625" customWidth="1"/>
    <col min="31" max="31" width="10.54296875" bestFit="1" customWidth="1"/>
    <col min="32" max="33" width="17.54296875" bestFit="1" customWidth="1"/>
    <col min="36" max="37" width="17.54296875" bestFit="1" customWidth="1"/>
  </cols>
  <sheetData>
    <row r="1" spans="1:37" x14ac:dyDescent="0.35">
      <c r="Y1" t="s">
        <v>19</v>
      </c>
      <c r="Z1" s="22">
        <v>1</v>
      </c>
      <c r="AA1" t="s">
        <v>22</v>
      </c>
      <c r="AB1" s="31">
        <v>1</v>
      </c>
      <c r="AE1" t="s">
        <v>42</v>
      </c>
      <c r="AF1" s="22">
        <f>Z2^2-4*Z1*Z3</f>
        <v>-4.5040461118710517E-2</v>
      </c>
      <c r="AG1" s="22">
        <f>B16^2-4*B15*B17</f>
        <v>-6.0053948158285575E-2</v>
      </c>
      <c r="AI1" t="s">
        <v>48</v>
      </c>
      <c r="AJ1" s="22">
        <f>IF(AF1&lt;0,AF5,AF2)</f>
        <v>0.93070422226605498</v>
      </c>
      <c r="AK1" s="22">
        <f>IF(AF1&lt;0,AF5,AF2)</f>
        <v>0.93070422226605498</v>
      </c>
    </row>
    <row r="2" spans="1:37" x14ac:dyDescent="0.35">
      <c r="A2" s="1" t="s">
        <v>56</v>
      </c>
      <c r="B2" s="6"/>
      <c r="Y2" t="s">
        <v>20</v>
      </c>
      <c r="Z2" s="22">
        <f>ROUND(-B12,14)</f>
        <v>-1.86140844453211</v>
      </c>
      <c r="AA2" t="s">
        <v>23</v>
      </c>
      <c r="AB2" s="31">
        <f>(-2*COS(AB4))</f>
        <v>-1.9989291749527314</v>
      </c>
      <c r="AE2" t="s">
        <v>43</v>
      </c>
      <c r="AF2" s="22" t="e">
        <f>(-Z2-SQRT(AF1))/2*Z1</f>
        <v>#NUM!</v>
      </c>
      <c r="AG2" s="22" t="e">
        <f>(-B16-SQRT(AG1))/2*B15</f>
        <v>#NUM!</v>
      </c>
      <c r="AJ2" s="22">
        <f>IF(AF1&lt;0,AF6,0)</f>
        <v>0.10611369034991493</v>
      </c>
      <c r="AK2" s="22">
        <f>IF(AF1&lt;0,-AF6,0)</f>
        <v>-0.10611369034991493</v>
      </c>
    </row>
    <row r="3" spans="1:37" x14ac:dyDescent="0.35">
      <c r="A3" t="s">
        <v>50</v>
      </c>
      <c r="B3" s="26">
        <v>1000</v>
      </c>
      <c r="C3" t="s">
        <v>4</v>
      </c>
      <c r="Y3" t="s">
        <v>21</v>
      </c>
      <c r="Z3" s="22">
        <f>ROUND(-B13,14)</f>
        <v>0.87747046462353995</v>
      </c>
      <c r="AA3" t="s">
        <v>24</v>
      </c>
      <c r="AB3" s="31">
        <v>1</v>
      </c>
      <c r="AE3" t="s">
        <v>44</v>
      </c>
      <c r="AF3" s="22" t="e">
        <f>(-Z2-SQRT(AF1))/2*Z1</f>
        <v>#NUM!</v>
      </c>
      <c r="AG3" s="22" t="e">
        <f>(-B16-SQRT(AG1))/2*B15</f>
        <v>#NUM!</v>
      </c>
    </row>
    <row r="4" spans="1:37" x14ac:dyDescent="0.35">
      <c r="A4" t="s">
        <v>51</v>
      </c>
      <c r="B4" s="26">
        <v>1</v>
      </c>
      <c r="AA4" t="s">
        <v>52</v>
      </c>
      <c r="AB4">
        <f>2*PI()*$B$3/($B$6*4)</f>
        <v>3.2724923474893676E-2</v>
      </c>
      <c r="AF4" s="22"/>
      <c r="AG4" s="22"/>
      <c r="AI4" t="s">
        <v>49</v>
      </c>
      <c r="AJ4" s="22">
        <f>IF(AG1&lt;0,AG5,AG2)</f>
        <v>0.99144486137381038</v>
      </c>
      <c r="AK4" s="22">
        <f>IF(AG1&lt;0,AG5,AG2)</f>
        <v>0.99144486137381038</v>
      </c>
    </row>
    <row r="5" spans="1:37" x14ac:dyDescent="0.35">
      <c r="AA5" t="s">
        <v>53</v>
      </c>
      <c r="AB5">
        <f>SIN($B$22)/(2*$B$4)</f>
        <v>6.5263096110025787E-2</v>
      </c>
      <c r="AE5" t="s">
        <v>45</v>
      </c>
      <c r="AF5" s="22">
        <f>-Z2/(2*Z1)</f>
        <v>0.93070422226605498</v>
      </c>
      <c r="AG5" s="22">
        <f>-B16/(2*B15)</f>
        <v>0.99144486137381038</v>
      </c>
      <c r="AH5" s="1"/>
      <c r="AJ5" s="22">
        <f>IF(AG1&lt;0,AG6,0)</f>
        <v>0.13052619222005171</v>
      </c>
      <c r="AK5" s="22">
        <f>IF(AG1&lt;0,-AG6,0)</f>
        <v>-0.13052619222005171</v>
      </c>
    </row>
    <row r="6" spans="1:37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E6" t="s">
        <v>46</v>
      </c>
      <c r="AF6" s="22">
        <f>SQRT(-AF1)/(2*Z1)</f>
        <v>0.10611369034991493</v>
      </c>
      <c r="AG6" s="22">
        <f>SQRT(-AG1)/(2*B15)</f>
        <v>0.13052619222005171</v>
      </c>
    </row>
    <row r="7" spans="1:37" x14ac:dyDescent="0.35">
      <c r="B7" s="6"/>
      <c r="S7" s="7" t="s">
        <v>4</v>
      </c>
      <c r="V7" s="17" t="s">
        <v>14</v>
      </c>
      <c r="W7" s="16"/>
      <c r="X7" s="16"/>
      <c r="Y7" s="16"/>
      <c r="AE7" t="s">
        <v>47</v>
      </c>
      <c r="AF7" s="22">
        <f>SQRT(AF5^2+AF6^2)</f>
        <v>0.93673393480942069</v>
      </c>
    </row>
    <row r="8" spans="1:37" x14ac:dyDescent="0.35">
      <c r="B8" s="6"/>
      <c r="S8" s="9">
        <v>10</v>
      </c>
      <c r="T8">
        <f t="shared" ref="T8:T39" si="0">2*PI()*S8/$B$6</f>
        <v>1.308996938995747E-3</v>
      </c>
      <c r="U8" s="18">
        <f t="shared" ref="U8:U39" si="1">4*SIN(T8/2)^2</f>
        <v>1.7134727416344432E-6</v>
      </c>
      <c r="V8" s="19">
        <f t="shared" ref="V8:V39" si="2">10*LOG10(($B$15+$B$16+$B$17)^2 + ( $B$15*$B$17*U8 - ($B$16*($B$15+$B$17) + 4*$B$15*$B$17) )*U8 )  - 10*LOG10( (1+$Z$2+$Z$3)^2 + ( 1*$Z$3*U8 - ($Z$2*(1+$Z$3) + 4*1*$Z$3) )*U8)</f>
        <v>-4.3311966214076847E-4</v>
      </c>
      <c r="Y8" s="27"/>
      <c r="AD8" s="27"/>
      <c r="AF8" s="22"/>
    </row>
    <row r="9" spans="1:37" x14ac:dyDescent="0.35">
      <c r="A9" s="33" t="s">
        <v>54</v>
      </c>
      <c r="B9" s="33"/>
      <c r="C9" s="33"/>
      <c r="D9" s="1"/>
      <c r="S9" s="12">
        <f t="shared" ref="S9:S40" si="3">S8*2^(1/8)</f>
        <v>10.905077326652577</v>
      </c>
      <c r="T9">
        <f t="shared" si="0"/>
        <v>1.427471284010015E-3</v>
      </c>
      <c r="U9" s="18">
        <f t="shared" si="1"/>
        <v>2.0376739206635231E-6</v>
      </c>
      <c r="V9" s="19">
        <f t="shared" si="2"/>
        <v>-5.1508358892959905E-4</v>
      </c>
      <c r="AD9" s="27"/>
      <c r="AF9" s="22">
        <f>IF(AF1&lt;0,AF7,AF2)</f>
        <v>0.93673393480942069</v>
      </c>
    </row>
    <row r="10" spans="1:37" x14ac:dyDescent="0.35">
      <c r="A10" s="33" t="s">
        <v>55</v>
      </c>
      <c r="B10" s="33"/>
      <c r="C10" s="33"/>
      <c r="S10" s="12">
        <f t="shared" si="3"/>
        <v>11.892071150027212</v>
      </c>
      <c r="T10">
        <f t="shared" si="0"/>
        <v>1.5566684733705255E-3</v>
      </c>
      <c r="U10" s="18">
        <f t="shared" si="1"/>
        <v>2.4232162466541498E-6</v>
      </c>
      <c r="V10" s="19">
        <f t="shared" si="2"/>
        <v>-6.1256172418922006E-4</v>
      </c>
      <c r="AD10" s="27"/>
    </row>
    <row r="11" spans="1:37" x14ac:dyDescent="0.35">
      <c r="A11" t="s">
        <v>19</v>
      </c>
      <c r="B11" s="23">
        <v>1</v>
      </c>
      <c r="S11" s="12">
        <f t="shared" si="3"/>
        <v>12.968395546510099</v>
      </c>
      <c r="T11">
        <f t="shared" si="0"/>
        <v>1.6975590074067798E-3</v>
      </c>
      <c r="U11" s="18">
        <f t="shared" si="1"/>
        <v>2.8817058916085552E-6</v>
      </c>
      <c r="V11" s="19">
        <f t="shared" si="2"/>
        <v>-7.2849197318447523E-4</v>
      </c>
      <c r="AD11" s="27"/>
    </row>
    <row r="12" spans="1:37" x14ac:dyDescent="0.35">
      <c r="A12" t="s">
        <v>20</v>
      </c>
      <c r="B12" s="20">
        <f>-(-2*COS(B22))/B24</f>
        <v>1.8614084445321082</v>
      </c>
      <c r="S12" s="12">
        <f t="shared" si="3"/>
        <v>14.142135623730953</v>
      </c>
      <c r="T12">
        <f t="shared" si="0"/>
        <v>1.8512012242326529E-3</v>
      </c>
      <c r="U12" s="18">
        <f t="shared" si="1"/>
        <v>3.4269449939373591E-6</v>
      </c>
      <c r="V12" s="19">
        <f t="shared" si="2"/>
        <v>-8.6636915241200541E-4</v>
      </c>
      <c r="AD12" s="27"/>
    </row>
    <row r="13" spans="1:37" ht="15" customHeight="1" x14ac:dyDescent="0.35">
      <c r="A13" t="s">
        <v>21</v>
      </c>
      <c r="B13" s="20">
        <f>-(1-B23)/B24</f>
        <v>-0.87747046462353917</v>
      </c>
      <c r="C13" s="25"/>
      <c r="S13" s="12">
        <f t="shared" si="3"/>
        <v>15.422108254079411</v>
      </c>
      <c r="T13">
        <f t="shared" si="0"/>
        <v>2.0187492497450994E-3</v>
      </c>
      <c r="U13" s="18">
        <f t="shared" si="1"/>
        <v>4.0753471493077851E-6</v>
      </c>
      <c r="V13" s="19">
        <f t="shared" si="2"/>
        <v>-1.0303507916304966E-3</v>
      </c>
      <c r="AD13" s="27"/>
    </row>
    <row r="14" spans="1:37" ht="15" customHeight="1" x14ac:dyDescent="0.35">
      <c r="B14" s="21"/>
      <c r="C14" s="25"/>
      <c r="S14" s="12">
        <f t="shared" si="3"/>
        <v>16.817928305074293</v>
      </c>
      <c r="T14">
        <f t="shared" si="0"/>
        <v>2.2014616671592185E-3</v>
      </c>
      <c r="U14" s="18">
        <f t="shared" si="1"/>
        <v>4.8464315146453117E-6</v>
      </c>
      <c r="V14" s="19">
        <f t="shared" si="2"/>
        <v>-1.2253831328337128E-3</v>
      </c>
      <c r="AD14" s="27"/>
    </row>
    <row r="15" spans="1:37" x14ac:dyDescent="0.35">
      <c r="A15" t="s">
        <v>22</v>
      </c>
      <c r="B15" s="20">
        <f>1/B24</f>
        <v>0.93873523231176959</v>
      </c>
      <c r="S15" s="12">
        <f t="shared" si="3"/>
        <v>18.340080864093427</v>
      </c>
      <c r="T15">
        <f t="shared" si="0"/>
        <v>2.4007109712032774E-3</v>
      </c>
      <c r="U15" s="18">
        <f t="shared" si="1"/>
        <v>5.7634103991787035E-6</v>
      </c>
      <c r="V15" s="19">
        <f t="shared" si="2"/>
        <v>-1.4573512216671247E-3</v>
      </c>
      <c r="AD15" s="27"/>
    </row>
    <row r="16" spans="1:37" x14ac:dyDescent="0.35">
      <c r="A16" t="s">
        <v>23</v>
      </c>
      <c r="B16" s="20">
        <f>(-2*COS(B22))/B24</f>
        <v>-1.8614084445321082</v>
      </c>
      <c r="S16" s="12">
        <f t="shared" si="3"/>
        <v>20.000000000000004</v>
      </c>
      <c r="T16">
        <f t="shared" si="0"/>
        <v>2.6179938779914949E-3</v>
      </c>
      <c r="U16" s="18">
        <f t="shared" si="1"/>
        <v>6.8538880305489414E-6</v>
      </c>
      <c r="V16" s="19">
        <f t="shared" si="2"/>
        <v>-1.7332577544593164E-3</v>
      </c>
      <c r="AD16" s="27"/>
    </row>
    <row r="17" spans="1:30" x14ac:dyDescent="0.35">
      <c r="A17" t="s">
        <v>24</v>
      </c>
      <c r="B17" s="20">
        <f>1/B24</f>
        <v>0.93873523231176959</v>
      </c>
      <c r="S17" s="12">
        <f t="shared" si="3"/>
        <v>21.810154653305158</v>
      </c>
      <c r="T17">
        <f t="shared" si="0"/>
        <v>2.8549425680200304E-3</v>
      </c>
      <c r="U17" s="18">
        <f t="shared" si="1"/>
        <v>8.1506915305390883E-6</v>
      </c>
      <c r="V17" s="19">
        <f t="shared" si="2"/>
        <v>-2.0614362700044353E-3</v>
      </c>
      <c r="AD17" s="27"/>
    </row>
    <row r="18" spans="1:30" x14ac:dyDescent="0.35">
      <c r="S18" s="12">
        <f t="shared" si="3"/>
        <v>23.784142300054427</v>
      </c>
      <c r="T18">
        <f t="shared" si="0"/>
        <v>3.1133369467410514E-3</v>
      </c>
      <c r="U18" s="18">
        <f t="shared" si="1"/>
        <v>9.6928591146396239E-6</v>
      </c>
      <c r="V18" s="19">
        <f t="shared" si="2"/>
        <v>-2.451805394287021E-3</v>
      </c>
      <c r="AD18" s="27"/>
    </row>
    <row r="19" spans="1:30" x14ac:dyDescent="0.35">
      <c r="A19" t="s">
        <v>34</v>
      </c>
      <c r="B19" s="24" t="str">
        <f>IF(ABS(AF9)&lt;1,"Stable","Not stable")</f>
        <v>Stable</v>
      </c>
      <c r="S19" s="12">
        <f t="shared" si="3"/>
        <v>25.936791093020201</v>
      </c>
      <c r="T19">
        <f t="shared" si="0"/>
        <v>3.39511801481356E-3</v>
      </c>
      <c r="U19" s="18">
        <f t="shared" si="1"/>
        <v>1.1526815262205378E-5</v>
      </c>
      <c r="V19" s="19">
        <f t="shared" si="2"/>
        <v>-2.9161722029868997E-3</v>
      </c>
      <c r="AD19" s="27"/>
    </row>
    <row r="20" spans="1:30" x14ac:dyDescent="0.35">
      <c r="S20" s="12">
        <f t="shared" si="3"/>
        <v>28.284271247461909</v>
      </c>
      <c r="T20">
        <f t="shared" si="0"/>
        <v>3.7024024484653062E-3</v>
      </c>
      <c r="U20" s="18">
        <f t="shared" si="1"/>
        <v>1.3707768231797451E-5</v>
      </c>
      <c r="V20" s="19">
        <f t="shared" si="2"/>
        <v>-3.4685944160912641E-3</v>
      </c>
      <c r="AD20" s="27"/>
    </row>
    <row r="21" spans="1:30" x14ac:dyDescent="0.35">
      <c r="A21" s="1"/>
      <c r="S21" s="12">
        <f t="shared" si="3"/>
        <v>30.844216508158826</v>
      </c>
      <c r="T21">
        <f t="shared" si="0"/>
        <v>4.0374984994901997E-3</v>
      </c>
      <c r="U21" s="18">
        <f t="shared" si="1"/>
        <v>1.6301371988776759E-5</v>
      </c>
      <c r="V21" s="19">
        <f t="shared" si="2"/>
        <v>-4.1258131529176012E-3</v>
      </c>
      <c r="AD21" s="27"/>
    </row>
    <row r="22" spans="1:30" x14ac:dyDescent="0.35">
      <c r="A22" t="s">
        <v>52</v>
      </c>
      <c r="B22">
        <f>2*PI()*B3/B6</f>
        <v>0.1308996938995747</v>
      </c>
      <c r="S22" s="12">
        <f t="shared" si="3"/>
        <v>33.635856610148593</v>
      </c>
      <c r="T22">
        <f t="shared" si="0"/>
        <v>4.4029233343184379E-3</v>
      </c>
      <c r="U22" s="18">
        <f t="shared" si="1"/>
        <v>1.9385702570682833E-5</v>
      </c>
      <c r="V22" s="19">
        <f t="shared" si="2"/>
        <v>-4.9077704428981406E-3</v>
      </c>
      <c r="AD22" s="27"/>
    </row>
    <row r="23" spans="1:30" x14ac:dyDescent="0.35">
      <c r="A23" t="s">
        <v>53</v>
      </c>
      <c r="B23">
        <f>SIN(B22)/(2*B4)</f>
        <v>6.5263096110025787E-2</v>
      </c>
      <c r="S23" s="12">
        <f t="shared" si="3"/>
        <v>36.68016172818686</v>
      </c>
      <c r="T23">
        <f t="shared" si="0"/>
        <v>4.8014219424065549E-3</v>
      </c>
      <c r="U23" s="18">
        <f t="shared" si="1"/>
        <v>2.3053608379815388E-5</v>
      </c>
      <c r="V23" s="19">
        <f t="shared" si="2"/>
        <v>-5.8382287272848998E-3</v>
      </c>
      <c r="AD23" s="27"/>
    </row>
    <row r="24" spans="1:30" x14ac:dyDescent="0.35">
      <c r="A24" t="s">
        <v>19</v>
      </c>
      <c r="B24">
        <f>1+B23</f>
        <v>1.0652630961100258</v>
      </c>
      <c r="S24" s="12">
        <f t="shared" si="3"/>
        <v>40.000000000000014</v>
      </c>
      <c r="T24">
        <f t="shared" si="0"/>
        <v>5.2359877559829907E-3</v>
      </c>
      <c r="U24" s="18">
        <f t="shared" si="1"/>
        <v>2.7415505146414638E-5</v>
      </c>
      <c r="V24" s="19">
        <f t="shared" si="2"/>
        <v>-6.94551334864002E-3</v>
      </c>
      <c r="AD24" s="27"/>
    </row>
    <row r="25" spans="1:30" x14ac:dyDescent="0.35">
      <c r="S25" s="12">
        <f t="shared" si="3"/>
        <v>43.620309306610324</v>
      </c>
      <c r="T25">
        <f t="shared" si="0"/>
        <v>5.7098851360400608E-3</v>
      </c>
      <c r="U25" s="18">
        <f t="shared" si="1"/>
        <v>3.2602699688383923E-5</v>
      </c>
      <c r="V25" s="19">
        <f t="shared" si="2"/>
        <v>-8.263403710344619E-3</v>
      </c>
      <c r="AD25" s="27"/>
    </row>
    <row r="26" spans="1:30" x14ac:dyDescent="0.35">
      <c r="S26" s="12">
        <f t="shared" si="3"/>
        <v>47.568284600108861</v>
      </c>
      <c r="T26">
        <f t="shared" si="0"/>
        <v>6.2266738934821028E-3</v>
      </c>
      <c r="U26" s="18">
        <f t="shared" si="1"/>
        <v>3.8771342507040672E-5</v>
      </c>
      <c r="V26" s="19">
        <f t="shared" si="2"/>
        <v>-9.8322046607179914E-3</v>
      </c>
      <c r="AD26" s="27"/>
    </row>
    <row r="27" spans="1:30" x14ac:dyDescent="0.35">
      <c r="S27" s="12">
        <f t="shared" si="3"/>
        <v>51.873582186040409</v>
      </c>
      <c r="T27">
        <f t="shared" si="0"/>
        <v>6.7902360296271218E-3</v>
      </c>
      <c r="U27" s="18">
        <f t="shared" si="1"/>
        <v>4.6107128181351442E-5</v>
      </c>
      <c r="V27" s="19">
        <f t="shared" si="2"/>
        <v>-1.1700037068948177E-2</v>
      </c>
      <c r="AD27" s="27"/>
    </row>
    <row r="28" spans="1:30" x14ac:dyDescent="0.35">
      <c r="S28" s="12">
        <f t="shared" si="3"/>
        <v>56.568542494923825</v>
      </c>
      <c r="T28">
        <f t="shared" si="0"/>
        <v>7.4048048969306141E-3</v>
      </c>
      <c r="U28" s="18">
        <f t="shared" si="1"/>
        <v>5.4830885024279924E-5</v>
      </c>
      <c r="V28" s="19">
        <f t="shared" si="2"/>
        <v>-1.3924395988887284E-2</v>
      </c>
      <c r="AD28" s="27"/>
    </row>
    <row r="29" spans="1:30" x14ac:dyDescent="0.35">
      <c r="S29" s="12">
        <f t="shared" si="3"/>
        <v>61.68843301631766</v>
      </c>
      <c r="T29">
        <f t="shared" si="0"/>
        <v>8.0749969989804011E-3</v>
      </c>
      <c r="U29" s="18">
        <f t="shared" si="1"/>
        <v>6.5205222220378339E-5</v>
      </c>
      <c r="V29" s="19">
        <f t="shared" si="2"/>
        <v>-1.6574036898632016E-2</v>
      </c>
      <c r="AD29" s="27"/>
    </row>
    <row r="30" spans="1:30" x14ac:dyDescent="0.35">
      <c r="S30" s="12">
        <f t="shared" si="3"/>
        <v>67.271713220297201</v>
      </c>
      <c r="T30">
        <f t="shared" si="0"/>
        <v>8.8058466686368776E-3</v>
      </c>
      <c r="U30" s="18">
        <f t="shared" si="1"/>
        <v>7.7542434477267176E-5</v>
      </c>
      <c r="V30" s="19">
        <f t="shared" si="2"/>
        <v>-1.9731266145342374E-2</v>
      </c>
      <c r="AD30" s="27"/>
    </row>
    <row r="31" spans="1:30" x14ac:dyDescent="0.35">
      <c r="S31" s="12">
        <f t="shared" si="3"/>
        <v>73.360323456373735</v>
      </c>
      <c r="T31">
        <f t="shared" si="0"/>
        <v>9.6028438848131132E-3</v>
      </c>
      <c r="U31" s="18">
        <f t="shared" si="1"/>
        <v>9.2213902050402276E-5</v>
      </c>
      <c r="V31" s="19">
        <f t="shared" si="2"/>
        <v>-2.3494732142111729E-2</v>
      </c>
      <c r="AD31" s="27"/>
    </row>
    <row r="32" spans="1:30" x14ac:dyDescent="0.35">
      <c r="S32" s="12">
        <f t="shared" si="3"/>
        <v>80.000000000000043</v>
      </c>
      <c r="T32">
        <f t="shared" si="0"/>
        <v>1.0471975511965983E-2</v>
      </c>
      <c r="U32" s="18">
        <f t="shared" si="1"/>
        <v>1.0966126897573617E-4</v>
      </c>
      <c r="V32" s="19">
        <f t="shared" si="2"/>
        <v>-2.79828407675069E-2</v>
      </c>
      <c r="AD32" s="27"/>
    </row>
    <row r="33" spans="19:30" x14ac:dyDescent="0.35">
      <c r="S33" s="12">
        <f t="shared" si="3"/>
        <v>87.240618613220661</v>
      </c>
      <c r="T33">
        <f t="shared" si="0"/>
        <v>1.1419770272080123E-2</v>
      </c>
      <c r="U33" s="18">
        <f t="shared" si="1"/>
        <v>1.3040973581750876E-4</v>
      </c>
      <c r="V33" s="19">
        <f t="shared" si="2"/>
        <v>-3.3337954213081389E-2</v>
      </c>
      <c r="AD33" s="27"/>
    </row>
    <row r="34" spans="19:30" x14ac:dyDescent="0.35">
      <c r="S34" s="12">
        <f t="shared" si="3"/>
        <v>95.136569200217735</v>
      </c>
      <c r="T34">
        <f t="shared" si="0"/>
        <v>1.2453347786964209E-2</v>
      </c>
      <c r="U34" s="18">
        <f t="shared" si="1"/>
        <v>1.5508386681116297E-4</v>
      </c>
      <c r="V34" s="19">
        <f t="shared" si="2"/>
        <v>-3.9731580623758589E-2</v>
      </c>
      <c r="AD34" s="27"/>
    </row>
    <row r="35" spans="19:30" x14ac:dyDescent="0.35">
      <c r="S35" s="12">
        <f t="shared" si="3"/>
        <v>103.74716437208083</v>
      </c>
      <c r="T35">
        <f t="shared" si="0"/>
        <v>1.3580472059254244E-2</v>
      </c>
      <c r="U35" s="18">
        <f t="shared" si="1"/>
        <v>1.8442638685813666E-4</v>
      </c>
      <c r="V35" s="19">
        <f t="shared" si="2"/>
        <v>-4.7370827164314733E-2</v>
      </c>
      <c r="AD35" s="27"/>
    </row>
    <row r="36" spans="19:30" x14ac:dyDescent="0.35">
      <c r="S36" s="12">
        <f t="shared" si="3"/>
        <v>113.13708498984766</v>
      </c>
      <c r="T36">
        <f t="shared" si="0"/>
        <v>1.4809609793861228E-2</v>
      </c>
      <c r="U36" s="18">
        <f t="shared" si="1"/>
        <v>2.1932053367116719E-4</v>
      </c>
      <c r="V36" s="19">
        <f t="shared" si="2"/>
        <v>-5.6506478678791439E-2</v>
      </c>
      <c r="AD36" s="27"/>
    </row>
    <row r="37" spans="19:30" x14ac:dyDescent="0.35">
      <c r="S37" s="12">
        <f t="shared" si="3"/>
        <v>123.37686603263533</v>
      </c>
      <c r="T37">
        <f t="shared" si="0"/>
        <v>1.6149993997960802E-2</v>
      </c>
      <c r="U37" s="18">
        <f t="shared" si="1"/>
        <v>2.6081663716050852E-4</v>
      </c>
      <c r="V37" s="19">
        <f t="shared" si="2"/>
        <v>-6.7443188178508251E-2</v>
      </c>
      <c r="AD37" s="27"/>
    </row>
    <row r="38" spans="19:30" x14ac:dyDescent="0.35">
      <c r="S38" s="12">
        <f t="shared" si="3"/>
        <v>134.5434264405944</v>
      </c>
      <c r="T38">
        <f t="shared" si="0"/>
        <v>1.7611693337273755E-2</v>
      </c>
      <c r="U38" s="18">
        <f t="shared" si="1"/>
        <v>3.1016372507992407E-4</v>
      </c>
      <c r="V38" s="19">
        <f t="shared" si="2"/>
        <v>-8.055243915186594E-2</v>
      </c>
      <c r="AD38" s="27"/>
    </row>
    <row r="39" spans="19:30" x14ac:dyDescent="0.35">
      <c r="S39" s="12">
        <f t="shared" si="3"/>
        <v>146.72064691274747</v>
      </c>
      <c r="T39">
        <f t="shared" si="0"/>
        <v>1.9205687769626226E-2</v>
      </c>
      <c r="U39" s="18">
        <f t="shared" si="1"/>
        <v>3.6884710479787779E-4</v>
      </c>
      <c r="V39" s="19">
        <f t="shared" si="2"/>
        <v>-9.6289185692448598E-2</v>
      </c>
      <c r="AD39" s="27"/>
    </row>
    <row r="40" spans="19:30" x14ac:dyDescent="0.35">
      <c r="S40" s="12">
        <f t="shared" si="3"/>
        <v>160.00000000000009</v>
      </c>
      <c r="T40">
        <f t="shared" ref="T40:T71" si="4">2*PI()*S40/$B$6</f>
        <v>2.0943951023931966E-2</v>
      </c>
      <c r="U40" s="18">
        <f t="shared" ref="U40:U71" si="5">4*SIN(T40/2)^2</f>
        <v>4.3863305030903126E-4</v>
      </c>
      <c r="V40" s="19">
        <f t="shared" ref="V40:V71" si="6">10*LOG10(($B$15+$B$16+$B$17)^2 + ( $B$15*$B$17*U40 - ($B$16*($B$15+$B$17) + 4*$B$15*$B$17) )*U40 )  - 10*LOG10( (1+$Z$2+$Z$3)^2 + ( 1*$Z$3*U40 - ($Z$2*(1+$Z$3) + 4*1*$Z$3) )*U40)</f>
        <v>-0.11521342863897388</v>
      </c>
      <c r="AD40" s="27"/>
    </row>
    <row r="41" spans="19:30" x14ac:dyDescent="0.35">
      <c r="S41" s="12">
        <f t="shared" ref="S41:S72" si="7">S40*2^(1/8)</f>
        <v>174.48123722644132</v>
      </c>
      <c r="T41">
        <f t="shared" si="4"/>
        <v>2.2839540544160247E-2</v>
      </c>
      <c r="U41" s="18">
        <f t="shared" si="5"/>
        <v>5.21621936570839E-4</v>
      </c>
      <c r="V41" s="19">
        <f t="shared" si="6"/>
        <v>-0.13801849601850336</v>
      </c>
      <c r="AD41" s="27"/>
    </row>
    <row r="42" spans="19:30" x14ac:dyDescent="0.35">
      <c r="S42" s="12">
        <f t="shared" si="7"/>
        <v>190.27313840043547</v>
      </c>
      <c r="T42">
        <f t="shared" si="4"/>
        <v>2.4906695573928418E-2</v>
      </c>
      <c r="U42" s="18">
        <f t="shared" si="5"/>
        <v>6.2031141623890697E-4</v>
      </c>
      <c r="V42" s="19">
        <f t="shared" si="6"/>
        <v>-0.16556854383078701</v>
      </c>
      <c r="AD42" s="27"/>
    </row>
    <row r="43" spans="19:30" x14ac:dyDescent="0.35">
      <c r="S43" s="12">
        <f t="shared" si="7"/>
        <v>207.49432874416166</v>
      </c>
      <c r="T43">
        <f t="shared" si="4"/>
        <v>2.7160944118508487E-2</v>
      </c>
      <c r="U43" s="18">
        <f t="shared" si="5"/>
        <v>7.3767153434037692E-4</v>
      </c>
      <c r="V43" s="19">
        <f t="shared" si="6"/>
        <v>-0.19894890326776959</v>
      </c>
      <c r="AD43" s="27"/>
    </row>
    <row r="44" spans="19:30" x14ac:dyDescent="0.35">
      <c r="S44" s="12">
        <f t="shared" si="7"/>
        <v>226.27416997969533</v>
      </c>
      <c r="T44">
        <f t="shared" si="4"/>
        <v>2.9619219587722456E-2</v>
      </c>
      <c r="U44" s="18">
        <f t="shared" si="5"/>
        <v>8.7723403318817894E-4</v>
      </c>
      <c r="V44" s="19">
        <f t="shared" si="6"/>
        <v>-0.23953457046228976</v>
      </c>
      <c r="AD44" s="27"/>
    </row>
    <row r="45" spans="19:30" x14ac:dyDescent="0.35">
      <c r="S45" s="12">
        <f t="shared" si="7"/>
        <v>246.75373206527067</v>
      </c>
      <c r="T45">
        <f t="shared" si="4"/>
        <v>3.2299987995921604E-2</v>
      </c>
      <c r="U45" s="18">
        <f t="shared" si="5"/>
        <v>1.0431985233238144E-3</v>
      </c>
      <c r="V45" s="19">
        <f t="shared" si="6"/>
        <v>-0.28908468286685007</v>
      </c>
      <c r="AD45" s="27"/>
    </row>
    <row r="46" spans="19:30" x14ac:dyDescent="0.35">
      <c r="S46" s="12">
        <f t="shared" si="7"/>
        <v>269.0868528811888</v>
      </c>
      <c r="T46">
        <f t="shared" si="4"/>
        <v>3.522338667454751E-2</v>
      </c>
      <c r="U46" s="18">
        <f t="shared" si="5"/>
        <v>1.2405586987833408E-3</v>
      </c>
      <c r="V46" s="19">
        <f t="shared" si="6"/>
        <v>-0.3498747723631439</v>
      </c>
      <c r="AD46" s="27"/>
    </row>
    <row r="47" spans="19:30" x14ac:dyDescent="0.35">
      <c r="S47" s="12">
        <f t="shared" si="7"/>
        <v>293.44129382549494</v>
      </c>
      <c r="T47">
        <f t="shared" si="4"/>
        <v>3.8411375539252453E-2</v>
      </c>
      <c r="U47" s="18">
        <f t="shared" si="5"/>
        <v>1.4752523710047933E-3</v>
      </c>
      <c r="V47" s="19">
        <f t="shared" si="6"/>
        <v>-0.42488479356015318</v>
      </c>
      <c r="AD47" s="27"/>
    </row>
    <row r="48" spans="19:30" x14ac:dyDescent="0.35">
      <c r="S48" s="12">
        <f t="shared" si="7"/>
        <v>320.00000000000017</v>
      </c>
      <c r="T48">
        <f t="shared" si="4"/>
        <v>4.1887902047863933E-2</v>
      </c>
      <c r="U48" s="18">
        <f t="shared" si="5"/>
        <v>1.7543398022833016E-3</v>
      </c>
      <c r="V48" s="19">
        <f t="shared" si="6"/>
        <v>-0.51807085877206305</v>
      </c>
      <c r="AD48" s="27"/>
    </row>
    <row r="49" spans="19:30" x14ac:dyDescent="0.35">
      <c r="S49" s="12">
        <f t="shared" si="7"/>
        <v>348.96247445288265</v>
      </c>
      <c r="T49">
        <f t="shared" si="4"/>
        <v>4.5679081088320493E-2</v>
      </c>
      <c r="U49" s="18">
        <f t="shared" si="5"/>
        <v>2.086215656838644E-3</v>
      </c>
      <c r="V49" s="19">
        <f t="shared" si="6"/>
        <v>-0.63476479006476438</v>
      </c>
      <c r="AD49" s="27"/>
    </row>
    <row r="50" spans="19:30" x14ac:dyDescent="0.35">
      <c r="S50" s="12">
        <f t="shared" si="7"/>
        <v>380.54627680087094</v>
      </c>
      <c r="T50">
        <f t="shared" si="4"/>
        <v>4.9813391147856836E-2</v>
      </c>
      <c r="U50" s="18">
        <f t="shared" si="5"/>
        <v>2.480860878702511E-3</v>
      </c>
      <c r="V50" s="19">
        <f t="shared" si="6"/>
        <v>-0.78227246244929205</v>
      </c>
      <c r="AD50" s="27"/>
    </row>
    <row r="51" spans="19:30" x14ac:dyDescent="0.35">
      <c r="S51" s="12">
        <f t="shared" si="7"/>
        <v>414.98865748832333</v>
      </c>
      <c r="T51">
        <f t="shared" si="4"/>
        <v>5.4321888237016974E-2</v>
      </c>
      <c r="U51" s="18">
        <f t="shared" si="5"/>
        <v>2.9501419780689321E-3</v>
      </c>
      <c r="V51" s="19">
        <f t="shared" si="6"/>
        <v>-0.97078747118757036</v>
      </c>
      <c r="AD51" s="27"/>
    </row>
    <row r="52" spans="19:30" x14ac:dyDescent="0.35">
      <c r="S52" s="12">
        <f t="shared" si="7"/>
        <v>452.54833995939066</v>
      </c>
      <c r="T52">
        <f t="shared" si="4"/>
        <v>5.9238439175444912E-2</v>
      </c>
      <c r="U52" s="18">
        <f t="shared" si="5"/>
        <v>3.5081665932037319E-3</v>
      </c>
      <c r="V52" s="19">
        <f t="shared" si="6"/>
        <v>-1.2148158305411343</v>
      </c>
      <c r="AD52" s="27"/>
    </row>
    <row r="53" spans="19:30" x14ac:dyDescent="0.35">
      <c r="S53" s="12">
        <f t="shared" si="7"/>
        <v>493.50746413054134</v>
      </c>
      <c r="T53">
        <f t="shared" si="4"/>
        <v>6.4599975991843209E-2</v>
      </c>
      <c r="U53" s="18">
        <f t="shared" si="5"/>
        <v>4.1717058301361928E-3</v>
      </c>
      <c r="V53" s="19">
        <f t="shared" si="6"/>
        <v>-1.5354492753950524</v>
      </c>
      <c r="AD53" s="27"/>
    </row>
    <row r="54" spans="19:30" x14ac:dyDescent="0.35">
      <c r="S54" s="12">
        <f t="shared" si="7"/>
        <v>538.17370576237761</v>
      </c>
      <c r="T54">
        <f t="shared" si="4"/>
        <v>7.0446773349095021E-2</v>
      </c>
      <c r="U54" s="18">
        <f t="shared" si="5"/>
        <v>4.9606958092482363E-3</v>
      </c>
      <c r="V54" s="19">
        <f t="shared" si="6"/>
        <v>-1.9640900413446118</v>
      </c>
      <c r="AD54" s="27"/>
    </row>
    <row r="55" spans="19:30" x14ac:dyDescent="0.35">
      <c r="S55" s="12">
        <f t="shared" si="7"/>
        <v>586.88258765098988</v>
      </c>
      <c r="T55">
        <f t="shared" si="4"/>
        <v>7.6822751078504906E-2</v>
      </c>
      <c r="U55" s="18">
        <f t="shared" si="5"/>
        <v>5.8988331144610179E-3</v>
      </c>
      <c r="V55" s="19">
        <f t="shared" si="6"/>
        <v>-2.5487602711011732</v>
      </c>
      <c r="AD55" s="27"/>
    </row>
    <row r="56" spans="19:30" x14ac:dyDescent="0.35">
      <c r="S56" s="12">
        <f t="shared" si="7"/>
        <v>640.00000000000034</v>
      </c>
      <c r="T56">
        <f t="shared" si="4"/>
        <v>8.3775804095727865E-2</v>
      </c>
      <c r="U56" s="18">
        <f t="shared" si="5"/>
        <v>7.0142815009913307E-3</v>
      </c>
      <c r="V56" s="19">
        <f t="shared" si="6"/>
        <v>-3.3653097093081428</v>
      </c>
      <c r="AD56" s="27"/>
    </row>
    <row r="57" spans="19:30" x14ac:dyDescent="0.35">
      <c r="S57" s="12">
        <f t="shared" si="7"/>
        <v>697.92494890576529</v>
      </c>
      <c r="T57">
        <f t="shared" si="4"/>
        <v>9.1358162176640986E-2</v>
      </c>
      <c r="U57" s="18">
        <f t="shared" si="5"/>
        <v>8.3405103315877388E-3</v>
      </c>
      <c r="V57" s="19">
        <f t="shared" si="6"/>
        <v>-4.5389356778484142</v>
      </c>
      <c r="AD57" s="27"/>
    </row>
    <row r="58" spans="19:30" x14ac:dyDescent="0.35">
      <c r="S58" s="12">
        <f t="shared" si="7"/>
        <v>761.09255360174188</v>
      </c>
      <c r="T58">
        <f t="shared" si="4"/>
        <v>9.9626782295713673E-2</v>
      </c>
      <c r="U58" s="18">
        <f t="shared" si="5"/>
        <v>9.9172888441105677E-3</v>
      </c>
      <c r="V58" s="19">
        <f t="shared" si="6"/>
        <v>-6.2916005963791335</v>
      </c>
      <c r="AD58" s="27"/>
    </row>
    <row r="59" spans="19:30" x14ac:dyDescent="0.35">
      <c r="S59" s="12">
        <f t="shared" si="7"/>
        <v>829.97731497664665</v>
      </c>
      <c r="T59">
        <f t="shared" si="4"/>
        <v>0.10864377647403395</v>
      </c>
      <c r="U59" s="18">
        <f t="shared" si="5"/>
        <v>1.1791864574584964E-2</v>
      </c>
      <c r="V59" s="19">
        <f t="shared" si="6"/>
        <v>-9.0749751390961961</v>
      </c>
      <c r="AD59" s="27"/>
    </row>
    <row r="60" spans="19:30" x14ac:dyDescent="0.35">
      <c r="S60" s="12">
        <f t="shared" si="7"/>
        <v>905.09667991878132</v>
      </c>
      <c r="T60">
        <f t="shared" si="4"/>
        <v>0.11847687835088982</v>
      </c>
      <c r="U60" s="18">
        <f t="shared" si="5"/>
        <v>1.4020359139969256E-2</v>
      </c>
      <c r="V60" s="19">
        <f t="shared" si="6"/>
        <v>-14.138153442660581</v>
      </c>
      <c r="AD60" s="27"/>
    </row>
    <row r="61" spans="19:30" x14ac:dyDescent="0.35">
      <c r="S61" s="12">
        <f t="shared" si="7"/>
        <v>987.01492826108267</v>
      </c>
      <c r="T61">
        <f t="shared" si="4"/>
        <v>0.12919995198368642</v>
      </c>
      <c r="U61" s="18">
        <f t="shared" si="5"/>
        <v>1.6669420191011579E-2</v>
      </c>
      <c r="V61" s="19">
        <f t="shared" si="6"/>
        <v>-31.63204939432763</v>
      </c>
      <c r="AD61" s="27"/>
    </row>
    <row r="62" spans="19:30" x14ac:dyDescent="0.35">
      <c r="S62" s="12">
        <f t="shared" si="7"/>
        <v>1076.3474115247552</v>
      </c>
      <c r="T62">
        <f t="shared" si="4"/>
        <v>0.14089354669819004</v>
      </c>
      <c r="U62" s="18">
        <f t="shared" si="5"/>
        <v>1.9818174734081057E-2</v>
      </c>
      <c r="V62" s="19">
        <f t="shared" si="6"/>
        <v>-16.704141754804148</v>
      </c>
      <c r="AD62" s="27"/>
    </row>
    <row r="63" spans="19:30" x14ac:dyDescent="0.35">
      <c r="S63" s="12">
        <f t="shared" si="7"/>
        <v>1173.7651753019798</v>
      </c>
      <c r="T63">
        <f t="shared" si="4"/>
        <v>0.15364550215700981</v>
      </c>
      <c r="U63" s="18">
        <f t="shared" si="5"/>
        <v>2.3560536225731808E-2</v>
      </c>
      <c r="V63" s="19">
        <f t="shared" si="6"/>
        <v>-10.249339775714056</v>
      </c>
      <c r="AD63" s="27"/>
    </row>
    <row r="64" spans="19:30" x14ac:dyDescent="0.35">
      <c r="S64" s="12">
        <f t="shared" si="7"/>
        <v>1280.0000000000007</v>
      </c>
      <c r="T64">
        <f t="shared" si="4"/>
        <v>0.16755160819145573</v>
      </c>
      <c r="U64" s="18">
        <f t="shared" si="5"/>
        <v>2.8007925858990177E-2</v>
      </c>
      <c r="V64" s="19">
        <f t="shared" si="6"/>
        <v>-6.9808948858791595</v>
      </c>
      <c r="AD64" s="27"/>
    </row>
    <row r="65" spans="19:30" x14ac:dyDescent="0.35">
      <c r="S65" s="12">
        <f t="shared" si="7"/>
        <v>1395.8498978115306</v>
      </c>
      <c r="T65">
        <f t="shared" si="4"/>
        <v>0.18271632435328197</v>
      </c>
      <c r="U65" s="18">
        <f t="shared" si="5"/>
        <v>3.3292477213759629E-2</v>
      </c>
      <c r="V65" s="19">
        <f t="shared" si="6"/>
        <v>-4.9803624756195006</v>
      </c>
      <c r="AD65" s="27"/>
    </row>
    <row r="66" spans="19:30" x14ac:dyDescent="0.35">
      <c r="S66" s="12">
        <f t="shared" si="7"/>
        <v>1522.1851072034838</v>
      </c>
      <c r="T66">
        <f t="shared" si="4"/>
        <v>0.19925356459142735</v>
      </c>
      <c r="U66" s="18">
        <f t="shared" si="5"/>
        <v>3.9570802758424749E-2</v>
      </c>
      <c r="V66" s="19">
        <f t="shared" si="6"/>
        <v>-3.6607927559799194</v>
      </c>
      <c r="AD66" s="27"/>
    </row>
    <row r="67" spans="19:30" x14ac:dyDescent="0.35">
      <c r="S67" s="12">
        <f t="shared" si="7"/>
        <v>1659.9546299532933</v>
      </c>
      <c r="T67">
        <f t="shared" si="4"/>
        <v>0.2172875529480679</v>
      </c>
      <c r="U67" s="18">
        <f t="shared" si="5"/>
        <v>4.7028410228194505E-2</v>
      </c>
      <c r="V67" s="19">
        <f t="shared" si="6"/>
        <v>-2.752207947808234</v>
      </c>
      <c r="AD67" s="27"/>
    </row>
    <row r="68" spans="19:30" x14ac:dyDescent="0.35">
      <c r="S68" s="12">
        <f t="shared" si="7"/>
        <v>1810.1933598375626</v>
      </c>
      <c r="T68">
        <f t="shared" si="4"/>
        <v>0.23695375670177965</v>
      </c>
      <c r="U68" s="18">
        <f t="shared" si="5"/>
        <v>5.588486608946331E-2</v>
      </c>
      <c r="V68" s="19">
        <f t="shared" si="6"/>
        <v>-2.1070137900793391</v>
      </c>
      <c r="AD68" s="27"/>
    </row>
    <row r="69" spans="19:30" x14ac:dyDescent="0.35">
      <c r="S69" s="12">
        <f t="shared" si="7"/>
        <v>1974.0298565221653</v>
      </c>
      <c r="T69">
        <f t="shared" si="4"/>
        <v>0.25839990396737283</v>
      </c>
      <c r="U69" s="18">
        <f t="shared" si="5"/>
        <v>6.6399811194541802E-2</v>
      </c>
      <c r="V69" s="19">
        <f t="shared" si="6"/>
        <v>-1.6373161170423636</v>
      </c>
      <c r="AD69" s="27"/>
    </row>
    <row r="70" spans="19:30" x14ac:dyDescent="0.35">
      <c r="S70" s="12">
        <f t="shared" si="7"/>
        <v>2152.6948230495104</v>
      </c>
      <c r="T70">
        <f t="shared" si="4"/>
        <v>0.28178709339638008</v>
      </c>
      <c r="U70" s="18">
        <f t="shared" si="5"/>
        <v>7.8879938886533649E-2</v>
      </c>
      <c r="V70" s="19">
        <f t="shared" si="6"/>
        <v>-1.2881016634690141</v>
      </c>
      <c r="AD70" s="27"/>
    </row>
    <row r="71" spans="19:30" x14ac:dyDescent="0.35">
      <c r="S71" s="12">
        <f t="shared" si="7"/>
        <v>2347.5303506039595</v>
      </c>
      <c r="T71">
        <f t="shared" si="4"/>
        <v>0.30729100431401962</v>
      </c>
      <c r="U71" s="18">
        <f t="shared" si="5"/>
        <v>9.3687046035683216E-2</v>
      </c>
      <c r="V71" s="19">
        <f t="shared" si="6"/>
        <v>-1.0237199485544508</v>
      </c>
      <c r="AD71" s="27"/>
    </row>
    <row r="72" spans="19:30" x14ac:dyDescent="0.35">
      <c r="S72" s="12">
        <f t="shared" si="7"/>
        <v>2560.0000000000014</v>
      </c>
      <c r="T72">
        <f t="shared" ref="T72:T96" si="8">2*PI()*S72/$B$6</f>
        <v>0.33510321638291146</v>
      </c>
      <c r="U72" s="18">
        <f t="shared" ref="U72:U96" si="9">4*SIN(T72/2)^2</f>
        <v>0.11124725952503801</v>
      </c>
      <c r="V72" s="19">
        <f t="shared" ref="V72:V96" si="10">10*LOG10(($B$15+$B$16+$B$17)^2 + ( $B$15*$B$17*U72 - ($B$16*($B$15+$B$17) + 4*$B$15*$B$17) )*U72 )  - 10*LOG10( (1+$Z$2+$Z$3)^2 + ( 1*$Z$3*U72 - ($Z$2*(1+$Z$3) + 4*1*$Z$3) )*U72)</f>
        <v>-0.82041302686109674</v>
      </c>
      <c r="AD72" s="27"/>
    </row>
    <row r="73" spans="19:30" x14ac:dyDescent="0.35">
      <c r="S73" s="12">
        <f t="shared" ref="S73:S96" si="11">S72*2^(1/8)</f>
        <v>2791.6997956230612</v>
      </c>
      <c r="T73">
        <f t="shared" si="8"/>
        <v>0.36543264870656395</v>
      </c>
      <c r="U73" s="18">
        <f t="shared" si="9"/>
        <v>0.1320615198160098</v>
      </c>
      <c r="V73" s="19">
        <f t="shared" si="10"/>
        <v>-0.66195730704524891</v>
      </c>
      <c r="AD73" s="27"/>
    </row>
    <row r="74" spans="19:30" x14ac:dyDescent="0.35">
      <c r="S74" s="12">
        <f t="shared" si="11"/>
        <v>3044.3702144069675</v>
      </c>
      <c r="T74">
        <f t="shared" si="8"/>
        <v>0.39850712918285469</v>
      </c>
      <c r="U74" s="18">
        <f t="shared" si="9"/>
        <v>0.15671736260275285</v>
      </c>
      <c r="V74" s="19">
        <f t="shared" si="10"/>
        <v>-0.53702705498093195</v>
      </c>
      <c r="AD74" s="27"/>
    </row>
    <row r="75" spans="19:30" x14ac:dyDescent="0.35">
      <c r="S75" s="12">
        <f t="shared" si="11"/>
        <v>3319.9092599065866</v>
      </c>
      <c r="T75">
        <f t="shared" si="8"/>
        <v>0.43457510589613579</v>
      </c>
      <c r="U75" s="18">
        <f t="shared" si="9"/>
        <v>0.18590196954418667</v>
      </c>
      <c r="V75" s="19">
        <f t="shared" si="10"/>
        <v>-0.43755432523915694</v>
      </c>
      <c r="AD75" s="27"/>
    </row>
    <row r="76" spans="19:30" x14ac:dyDescent="0.35">
      <c r="S76" s="12">
        <f t="shared" si="11"/>
        <v>3620.3867196751253</v>
      </c>
      <c r="T76">
        <f t="shared" si="8"/>
        <v>0.4739075134035593</v>
      </c>
      <c r="U76" s="18">
        <f t="shared" si="9"/>
        <v>0.22041634610001598</v>
      </c>
      <c r="V76" s="19">
        <f t="shared" si="10"/>
        <v>-0.35768422204938766</v>
      </c>
      <c r="AD76" s="27"/>
    </row>
    <row r="77" spans="19:30" x14ac:dyDescent="0.35">
      <c r="S77" s="12">
        <f t="shared" si="11"/>
        <v>3948.0597130443307</v>
      </c>
      <c r="T77">
        <f t="shared" si="8"/>
        <v>0.51679980793474567</v>
      </c>
      <c r="U77" s="18">
        <f t="shared" si="9"/>
        <v>0.26119030985149644</v>
      </c>
      <c r="V77" s="19">
        <f t="shared" si="10"/>
        <v>-0.29309499863105337</v>
      </c>
      <c r="AD77" s="27"/>
    </row>
    <row r="78" spans="19:30" x14ac:dyDescent="0.35">
      <c r="S78" s="12">
        <f t="shared" si="11"/>
        <v>4305.3896460990209</v>
      </c>
      <c r="T78">
        <f t="shared" si="8"/>
        <v>0.56357418679276017</v>
      </c>
      <c r="U78" s="18">
        <f t="shared" si="9"/>
        <v>0.30929771078739127</v>
      </c>
      <c r="V78" s="19">
        <f t="shared" si="10"/>
        <v>-0.24054673168010154</v>
      </c>
      <c r="AD78" s="27"/>
    </row>
    <row r="79" spans="19:30" x14ac:dyDescent="0.35">
      <c r="S79" s="12">
        <f t="shared" si="11"/>
        <v>4695.060701207919</v>
      </c>
      <c r="T79">
        <f t="shared" si="8"/>
        <v>0.61458200862803924</v>
      </c>
      <c r="U79" s="18">
        <f t="shared" si="9"/>
        <v>0.36597092154784067</v>
      </c>
      <c r="V79" s="19">
        <f t="shared" si="10"/>
        <v>-0.19757610592173513</v>
      </c>
      <c r="AD79" s="27"/>
    </row>
    <row r="80" spans="19:30" x14ac:dyDescent="0.35">
      <c r="S80" s="12">
        <f t="shared" si="11"/>
        <v>5120.0000000000027</v>
      </c>
      <c r="T80">
        <f t="shared" si="8"/>
        <v>0.67020643276582292</v>
      </c>
      <c r="U80" s="18">
        <f t="shared" si="9"/>
        <v>0.43261308534832082</v>
      </c>
      <c r="V80" s="19">
        <f t="shared" si="10"/>
        <v>-0.1622863572573916</v>
      </c>
      <c r="AD80" s="27"/>
    </row>
    <row r="81" spans="19:30" x14ac:dyDescent="0.35">
      <c r="S81" s="12">
        <f t="shared" si="11"/>
        <v>5583.3995912461223</v>
      </c>
      <c r="T81">
        <f t="shared" si="8"/>
        <v>0.73086529741312789</v>
      </c>
      <c r="U81" s="18">
        <f t="shared" si="9"/>
        <v>0.51080583424792492</v>
      </c>
      <c r="V81" s="19">
        <f t="shared" si="10"/>
        <v>-0.1332002898511595</v>
      </c>
      <c r="AD81" s="27"/>
    </row>
    <row r="82" spans="19:30" x14ac:dyDescent="0.35">
      <c r="S82" s="12">
        <f t="shared" si="11"/>
        <v>6088.7404288139351</v>
      </c>
      <c r="T82">
        <f t="shared" si="8"/>
        <v>0.79701425836570938</v>
      </c>
      <c r="U82" s="18">
        <f t="shared" si="9"/>
        <v>0.60230911866984871</v>
      </c>
      <c r="V82" s="19">
        <f t="shared" si="10"/>
        <v>-0.10915580168640382</v>
      </c>
      <c r="AD82" s="27"/>
    </row>
    <row r="83" spans="19:30" x14ac:dyDescent="0.35">
      <c r="S83" s="12">
        <f t="shared" si="11"/>
        <v>6639.8185198131732</v>
      </c>
      <c r="T83">
        <f t="shared" si="8"/>
        <v>0.86915021179227159</v>
      </c>
      <c r="U83" s="18">
        <f t="shared" si="9"/>
        <v>0.70904833589633898</v>
      </c>
      <c r="V83" s="19">
        <f t="shared" si="10"/>
        <v>-8.9230515300688484E-2</v>
      </c>
      <c r="AD83" s="27"/>
    </row>
    <row r="84" spans="19:30" x14ac:dyDescent="0.35">
      <c r="S84" s="12">
        <f t="shared" si="11"/>
        <v>7240.7734393502506</v>
      </c>
      <c r="T84">
        <f t="shared" si="8"/>
        <v>0.9478150268071186</v>
      </c>
      <c r="U84" s="18">
        <f t="shared" si="9"/>
        <v>0.83308201877198185</v>
      </c>
      <c r="V84" s="19">
        <f t="shared" si="10"/>
        <v>-7.2686640360791976E-2</v>
      </c>
      <c r="AD84" s="27"/>
    </row>
    <row r="85" spans="19:30" x14ac:dyDescent="0.35">
      <c r="S85" s="12">
        <f t="shared" si="11"/>
        <v>7896.1194260886614</v>
      </c>
      <c r="T85">
        <f t="shared" si="8"/>
        <v>1.0335996158694913</v>
      </c>
      <c r="U85" s="18">
        <f t="shared" si="9"/>
        <v>0.9765408614456651</v>
      </c>
      <c r="V85" s="19">
        <f t="shared" si="10"/>
        <v>-5.8930106639162427E-2</v>
      </c>
      <c r="AD85" s="27"/>
    </row>
    <row r="86" spans="19:30" x14ac:dyDescent="0.35">
      <c r="S86" s="12">
        <f t="shared" si="11"/>
        <v>8610.7792921980417</v>
      </c>
      <c r="T86">
        <f t="shared" si="8"/>
        <v>1.1271483735855203</v>
      </c>
      <c r="U86" s="18">
        <f t="shared" si="9"/>
        <v>1.1415257692512444</v>
      </c>
      <c r="V86" s="19">
        <f t="shared" si="10"/>
        <v>-4.7479906962651031E-2</v>
      </c>
      <c r="AD86" s="27"/>
    </row>
    <row r="87" spans="19:30" x14ac:dyDescent="0.35">
      <c r="S87" s="12">
        <f t="shared" si="11"/>
        <v>9390.121402415838</v>
      </c>
      <c r="T87">
        <f t="shared" si="8"/>
        <v>1.2291640172560785</v>
      </c>
      <c r="U87" s="18">
        <f t="shared" si="9"/>
        <v>1.3299489707727872</v>
      </c>
      <c r="V87" s="19">
        <f t="shared" si="10"/>
        <v>-3.7944849645115353E-2</v>
      </c>
      <c r="AD87" s="27"/>
    </row>
    <row r="88" spans="19:30" x14ac:dyDescent="0.35">
      <c r="S88" s="12">
        <f t="shared" si="11"/>
        <v>10240.000000000005</v>
      </c>
      <c r="T88">
        <f t="shared" si="8"/>
        <v>1.3404128655316458</v>
      </c>
      <c r="U88" s="18">
        <f t="shared" si="9"/>
        <v>1.54329825977869</v>
      </c>
      <c r="V88" s="19">
        <f t="shared" si="10"/>
        <v>-3.0005767936833738E-2</v>
      </c>
      <c r="AD88" s="27"/>
    </row>
    <row r="89" spans="19:30" x14ac:dyDescent="0.35">
      <c r="S89" s="12">
        <f t="shared" si="11"/>
        <v>11166.799182492245</v>
      </c>
      <c r="T89">
        <f t="shared" si="8"/>
        <v>1.4617305948262558</v>
      </c>
      <c r="U89" s="18">
        <f t="shared" si="9"/>
        <v>1.7823007366899815</v>
      </c>
      <c r="V89" s="19">
        <f t="shared" si="10"/>
        <v>-2.3401814748806871E-2</v>
      </c>
      <c r="AD89" s="27"/>
    </row>
    <row r="90" spans="19:30" x14ac:dyDescent="0.35">
      <c r="S90" s="12">
        <f t="shared" si="11"/>
        <v>12177.48085762787</v>
      </c>
      <c r="T90">
        <f t="shared" si="8"/>
        <v>1.5940285167314188</v>
      </c>
      <c r="U90" s="18">
        <f t="shared" si="9"/>
        <v>2.0464602002465448</v>
      </c>
      <c r="V90" s="19">
        <f t="shared" si="10"/>
        <v>-1.7919877776021664E-2</v>
      </c>
      <c r="AD90" s="27"/>
    </row>
    <row r="91" spans="19:30" x14ac:dyDescent="0.35">
      <c r="S91" s="12">
        <f t="shared" si="11"/>
        <v>13279.637039626346</v>
      </c>
      <c r="T91">
        <f t="shared" si="8"/>
        <v>1.7383004235845432</v>
      </c>
      <c r="U91" s="18">
        <f t="shared" si="9"/>
        <v>2.3334438009479883</v>
      </c>
      <c r="V91" s="19">
        <f t="shared" si="10"/>
        <v>-1.3386445894798982E-2</v>
      </c>
      <c r="AD91" s="27"/>
    </row>
    <row r="92" spans="19:30" x14ac:dyDescent="0.35">
      <c r="S92" s="12">
        <f t="shared" si="11"/>
        <v>14481.546878700501</v>
      </c>
      <c r="T92">
        <f t="shared" si="8"/>
        <v>1.8956300536142372</v>
      </c>
      <c r="U92" s="18">
        <f t="shared" si="9"/>
        <v>2.6383024250867271</v>
      </c>
      <c r="V92" s="19">
        <f t="shared" si="10"/>
        <v>-9.6614879724601366E-3</v>
      </c>
      <c r="AD92" s="27"/>
    </row>
    <row r="93" spans="19:30" x14ac:dyDescent="0.35">
      <c r="S93" s="12">
        <f t="shared" si="11"/>
        <v>15792.238852177323</v>
      </c>
      <c r="T93">
        <f t="shared" si="8"/>
        <v>2.0671992317389827</v>
      </c>
      <c r="U93" s="18">
        <f t="shared" si="9"/>
        <v>2.952531391709619</v>
      </c>
      <c r="V93" s="19">
        <f t="shared" si="10"/>
        <v>-6.6341092988313477E-3</v>
      </c>
      <c r="AD93" s="27"/>
    </row>
    <row r="94" spans="19:30" x14ac:dyDescent="0.35">
      <c r="S94" s="12">
        <f t="shared" si="11"/>
        <v>17221.558584396083</v>
      </c>
      <c r="T94">
        <f t="shared" si="8"/>
        <v>2.2542967471710407</v>
      </c>
      <c r="U94" s="18">
        <f t="shared" si="9"/>
        <v>3.2630219951403325</v>
      </c>
      <c r="V94" s="19">
        <f t="shared" si="10"/>
        <v>-4.2199738711836687E-3</v>
      </c>
      <c r="AD94" s="27"/>
    </row>
    <row r="95" spans="19:30" x14ac:dyDescent="0.35">
      <c r="S95" s="12">
        <f t="shared" si="11"/>
        <v>18780.242804831676</v>
      </c>
      <c r="T95">
        <f t="shared" si="8"/>
        <v>2.458328034512157</v>
      </c>
      <c r="U95" s="18">
        <f t="shared" si="9"/>
        <v>3.5510316182315527</v>
      </c>
      <c r="V95" s="19">
        <f t="shared" si="10"/>
        <v>-2.3607943200829595E-3</v>
      </c>
      <c r="AD95" s="27"/>
    </row>
    <row r="96" spans="19:30" x14ac:dyDescent="0.35">
      <c r="S96" s="12">
        <f t="shared" si="11"/>
        <v>20480.000000000011</v>
      </c>
      <c r="T96">
        <f t="shared" si="8"/>
        <v>2.6808257310632917</v>
      </c>
      <c r="U96" s="18">
        <f t="shared" si="9"/>
        <v>3.7914235204788267</v>
      </c>
      <c r="V96" s="19">
        <f t="shared" si="10"/>
        <v>-1.026739027791379E-3</v>
      </c>
      <c r="AD96" s="27"/>
    </row>
    <row r="97" spans="19:30" x14ac:dyDescent="0.35">
      <c r="S97" s="12"/>
      <c r="U97" s="18"/>
      <c r="V97" s="19"/>
      <c r="AD97" s="27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3" max="25" width="10.54296875" bestFit="1" customWidth="1"/>
    <col min="26" max="26" width="17.54296875" bestFit="1" customWidth="1"/>
    <col min="28" max="28" width="17.81640625" bestFit="1" customWidth="1"/>
    <col min="29" max="29" width="10.54296875" bestFit="1" customWidth="1"/>
    <col min="30" max="31" width="17.54296875" bestFit="1" customWidth="1"/>
    <col min="34" max="35" width="17.54296875" bestFit="1" customWidth="1"/>
  </cols>
  <sheetData>
    <row r="1" spans="1:35" x14ac:dyDescent="0.35">
      <c r="Y1" t="s">
        <v>19</v>
      </c>
      <c r="Z1" s="22">
        <v>1</v>
      </c>
      <c r="AA1" t="s">
        <v>22</v>
      </c>
      <c r="AB1" s="31">
        <f>(1+COS($AB$4))/2</f>
        <v>0.99973229373818284</v>
      </c>
      <c r="AC1" t="s">
        <v>42</v>
      </c>
      <c r="AD1" s="22">
        <f>Z2^2-4*Z1*Z3</f>
        <v>-2.7977620220553945E-14</v>
      </c>
      <c r="AE1" s="22">
        <f>B16^2-4*B15*B17</f>
        <v>0</v>
      </c>
      <c r="AG1" t="s">
        <v>48</v>
      </c>
      <c r="AH1" s="22">
        <f>IF(AD1&lt;0,AD5,AD2)</f>
        <v>0.876976462992755</v>
      </c>
      <c r="AI1" s="22">
        <f>IF(AD1&lt;0,AD5,AD2)</f>
        <v>0.876976462992755</v>
      </c>
    </row>
    <row r="2" spans="1:35" x14ac:dyDescent="0.35">
      <c r="A2" s="1" t="s">
        <v>56</v>
      </c>
      <c r="B2" s="6"/>
      <c r="Y2" t="s">
        <v>20</v>
      </c>
      <c r="Z2" s="22">
        <f>ROUND(-B12,14)</f>
        <v>-1.75395292598551</v>
      </c>
      <c r="AA2" t="s">
        <v>23</v>
      </c>
      <c r="AB2" s="31">
        <f>1+COS($AB$4)</f>
        <v>1.9994645874763657</v>
      </c>
      <c r="AC2" t="s">
        <v>43</v>
      </c>
      <c r="AD2" s="22" t="e">
        <f>(-Z2-SQRT(AD1))/2*Z1</f>
        <v>#NUM!</v>
      </c>
      <c r="AE2" s="22">
        <f>(-B16-SQRT(AE1))/2*B15</f>
        <v>0.67447182547300477</v>
      </c>
      <c r="AH2" s="22">
        <f>IF(AD1&lt;0,AD6,0)</f>
        <v>8.3632559778703931E-8</v>
      </c>
      <c r="AI2" s="22">
        <f>IF(AD1&lt;0,-AD6,0)</f>
        <v>-8.3632559778703931E-8</v>
      </c>
    </row>
    <row r="3" spans="1:35" x14ac:dyDescent="0.35">
      <c r="A3" t="s">
        <v>50</v>
      </c>
      <c r="B3" s="26">
        <v>1000</v>
      </c>
      <c r="C3" t="s">
        <v>4</v>
      </c>
      <c r="Y3" t="s">
        <v>21</v>
      </c>
      <c r="Z3" s="22">
        <f>ROUND(-B13,14)</f>
        <v>0.76908771664329001</v>
      </c>
      <c r="AA3" t="s">
        <v>24</v>
      </c>
      <c r="AB3" s="31">
        <f>(1+COS($AB$4))/2</f>
        <v>0.99973229373818284</v>
      </c>
      <c r="AC3" t="s">
        <v>44</v>
      </c>
      <c r="AD3" s="22" t="e">
        <f>(-Z2-SQRT(AD1))/2*Z1</f>
        <v>#NUM!</v>
      </c>
      <c r="AE3" s="22">
        <f>(-B16-SQRT(AE1))/2*B15</f>
        <v>0.67447182547300477</v>
      </c>
    </row>
    <row r="4" spans="1:35" x14ac:dyDescent="0.35">
      <c r="A4" t="s">
        <v>51</v>
      </c>
      <c r="B4" s="26">
        <v>0.5</v>
      </c>
      <c r="AA4" t="s">
        <v>52</v>
      </c>
      <c r="AB4">
        <f>2*PI()*$B$3/($B$6*4)</f>
        <v>3.2724923474893676E-2</v>
      </c>
      <c r="AD4" s="22"/>
      <c r="AE4" s="22"/>
      <c r="AG4" t="s">
        <v>49</v>
      </c>
      <c r="AH4" s="22">
        <f>IF(AE1&lt;0,AE5,AE2)</f>
        <v>0.67447182547300477</v>
      </c>
      <c r="AI4" s="22">
        <f>IF(AE1&lt;0,AE5,AE2)</f>
        <v>0.67447182547300477</v>
      </c>
    </row>
    <row r="5" spans="1:35" x14ac:dyDescent="0.35">
      <c r="AA5" t="s">
        <v>53</v>
      </c>
      <c r="AB5">
        <f>SIN($B$22)/(2*$B$4)</f>
        <v>0.13052619222005157</v>
      </c>
      <c r="AC5" t="s">
        <v>45</v>
      </c>
      <c r="AD5" s="22">
        <f>-Z2/(2*Z1)</f>
        <v>0.876976462992755</v>
      </c>
      <c r="AE5" s="22">
        <f>-B16/(2*B15)</f>
        <v>1.1402814581675487</v>
      </c>
      <c r="AF5" s="1"/>
      <c r="AH5" s="22">
        <f>IF(AE1&lt;0,AE6,0)</f>
        <v>0</v>
      </c>
      <c r="AI5" s="22">
        <f>IF(AE1&lt;0,-AE6,0)</f>
        <v>0</v>
      </c>
    </row>
    <row r="6" spans="1:35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 t="s">
        <v>57</v>
      </c>
      <c r="X6" s="17" t="s">
        <v>57</v>
      </c>
      <c r="Y6" s="17" t="s">
        <v>58</v>
      </c>
      <c r="AC6" t="s">
        <v>46</v>
      </c>
      <c r="AD6" s="22">
        <f>SQRT(-AD1)/(2*Z1)</f>
        <v>8.3632559778703931E-8</v>
      </c>
      <c r="AE6" s="22">
        <f>SQRT(-AE1)/(2*B15)</f>
        <v>0</v>
      </c>
    </row>
    <row r="7" spans="1:35" x14ac:dyDescent="0.35">
      <c r="B7" s="6"/>
      <c r="S7" s="7" t="s">
        <v>4</v>
      </c>
      <c r="V7" s="17" t="s">
        <v>14</v>
      </c>
      <c r="W7" s="16" t="s">
        <v>60</v>
      </c>
      <c r="X7" s="16" t="s">
        <v>61</v>
      </c>
      <c r="Y7" s="16" t="s">
        <v>59</v>
      </c>
      <c r="AC7" t="s">
        <v>47</v>
      </c>
      <c r="AD7" s="22">
        <f>SQRT(AD5^2+AD6^2)</f>
        <v>0.876976462992759</v>
      </c>
    </row>
    <row r="8" spans="1:35" x14ac:dyDescent="0.35">
      <c r="B8" s="6"/>
      <c r="S8" s="9">
        <v>10</v>
      </c>
      <c r="T8">
        <f>2*PI()*S8/$B$6</f>
        <v>1.308996938995747E-3</v>
      </c>
      <c r="U8" s="18">
        <f>4*SIN(T8/2)^2</f>
        <v>1.7134727416344432E-6</v>
      </c>
      <c r="V8" s="19">
        <f t="shared" ref="V8:V71" si="0">10*LOG10(($B$15+$B$16+$B$17)^2 + ( $B$15*$B$17*U8 - ($B$16*($B$15+$B$17) + 4*$B$15*$B$17) )*U8 )  - 10*LOG10( (1+$Z$2+$Z$3)^2 + ( 1*$Z$3*U8 - ($Z$2*(1+$Z$3) + 4*1*$Z$3) )*U8)</f>
        <v>-4.3272052607790101E-12</v>
      </c>
      <c r="W8">
        <f>ATAN2( ( $Z$1+$Z$2*$AB$2+$Z$3*$AB$3+ ($Z$1*$AB$2+$Z$2*(1+$AB$3)+$Z$3*$AB$2)*COS(T8)+ ($Z$1*$AB$3+$Z$3)*COS(2*T8) ) / ( 1+$AB$2*$AB$2+$AB$3*$AB$3+ 2* ( ($AB$2+$AB$2*$AB$3)*COS(T8)+ $AB$3*COS(2*T8) ) ),( ($Z$2-$Z$1*$AB$2+$Z$3*$AB$2-$Z$2*$AB$3+ 2*(-$Z$1*$AB$3+$Z$3)*COS(T8) )*SIN(T8) / ( 1+$AB$2*$AB$2+$AB$3*$AB$3+ 2*($AB$2 + $AB$2*$AB$3)*COS(T8)+ 2*$AB$3*COS(2*T8) ) ))*2</f>
        <v>-3.9941370821503099E-2</v>
      </c>
      <c r="X8">
        <f>DEGREES(W8)</f>
        <v>-2.2884719760391015</v>
      </c>
      <c r="Y8" s="27"/>
      <c r="AD8" s="22"/>
    </row>
    <row r="9" spans="1:35" x14ac:dyDescent="0.35">
      <c r="A9" s="33" t="s">
        <v>54</v>
      </c>
      <c r="B9" s="33"/>
      <c r="C9" s="33"/>
      <c r="D9" s="1"/>
      <c r="S9" s="12">
        <f>S8*2^(1/8)</f>
        <v>10.905077326652577</v>
      </c>
      <c r="T9">
        <f>2*PI()*S9/$B$6</f>
        <v>1.427471284010015E-3</v>
      </c>
      <c r="U9" s="18">
        <f>4*SIN(T9/2)^2</f>
        <v>2.0376739206635231E-6</v>
      </c>
      <c r="V9" s="19">
        <f t="shared" si="0"/>
        <v>-4.3343106881366111E-12</v>
      </c>
      <c r="W9">
        <f t="shared" ref="W9:W72" si="1">ATAN2( ( $Z$1+$Z$2*$AB$2+$Z$3*$AB$3+ ($Z$1*$AB$2+$Z$2*(1+$AB$3)+$Z$3*$AB$2)*COS(T9)+ ($Z$1*$AB$3+$Z$3)*COS(2*T9) ) / ( 1+$AB$2*$AB$2+$AB$3*$AB$3+ 2* ( ($AB$2+$AB$2*$AB$3)*COS(T9)+ $AB$3*COS(2*T9) ) ),( ($Z$2-$Z$1*$AB$2+$Z$3*$AB$2-$Z$2*$AB$3+ 2*(-$Z$1*$AB$3+$Z$3)*COS(T9) )*SIN(T9) / ( 1+$AB$2*$AB$2+$AB$3*$AB$3+ 2*($AB$2 + $AB$2*$AB$3)*COS(T9)+ 2*$AB$3*COS(2*T9) ) ))*2</f>
        <v>-4.3556101014547419E-2</v>
      </c>
      <c r="X9">
        <f t="shared" ref="X9:X72" si="2">DEGREES(W9)</f>
        <v>-2.4955807601790503</v>
      </c>
      <c r="Y9">
        <f>(-((W10-W8)/(S10-S8))/360)*58000000</f>
        <v>643.44442440283433</v>
      </c>
      <c r="AD9" s="22">
        <f>IF(AD1&lt;0,AD7,AD2)</f>
        <v>0.876976462992759</v>
      </c>
    </row>
    <row r="10" spans="1:35" x14ac:dyDescent="0.35">
      <c r="A10" s="33" t="s">
        <v>55</v>
      </c>
      <c r="B10" s="33"/>
      <c r="C10" s="33"/>
      <c r="S10" s="12">
        <f t="shared" ref="S10:S73" si="3">S9*2^(1/8)</f>
        <v>11.892071150027212</v>
      </c>
      <c r="T10">
        <f t="shared" ref="T10:T73" si="4">2*PI()*S10/$B$6</f>
        <v>1.5566684733705255E-3</v>
      </c>
      <c r="U10" s="18">
        <f t="shared" ref="U10:U73" si="5">4*SIN(T10/2)^2</f>
        <v>2.4232162466541498E-6</v>
      </c>
      <c r="V10" s="19">
        <f t="shared" si="0"/>
        <v>-4.3272052607790101E-12</v>
      </c>
      <c r="W10">
        <f t="shared" si="1"/>
        <v>-4.7497911296348762E-2</v>
      </c>
      <c r="X10">
        <f t="shared" si="2"/>
        <v>-2.7214298529675407</v>
      </c>
      <c r="Y10">
        <f t="shared" ref="Y10:Y73" si="6">(-((W11-W9)/(S11-S9))/360)*58000000</f>
        <v>643.42990763149453</v>
      </c>
    </row>
    <row r="11" spans="1:35" x14ac:dyDescent="0.35">
      <c r="A11" t="s">
        <v>19</v>
      </c>
      <c r="B11" s="23">
        <v>1</v>
      </c>
      <c r="S11" s="12">
        <f t="shared" si="3"/>
        <v>12.968395546510099</v>
      </c>
      <c r="T11">
        <f t="shared" si="4"/>
        <v>1.6975590074067798E-3</v>
      </c>
      <c r="U11" s="18">
        <f t="shared" si="5"/>
        <v>2.8817058916085552E-6</v>
      </c>
      <c r="V11" s="19">
        <f t="shared" si="0"/>
        <v>-4.3272052607790101E-12</v>
      </c>
      <c r="W11">
        <f t="shared" si="1"/>
        <v>-5.1796380921137586E-2</v>
      </c>
      <c r="X11">
        <f t="shared" si="2"/>
        <v>-2.9677140208331232</v>
      </c>
      <c r="Y11">
        <f t="shared" si="6"/>
        <v>643.41264504604123</v>
      </c>
    </row>
    <row r="12" spans="1:35" x14ac:dyDescent="0.35">
      <c r="A12" t="s">
        <v>20</v>
      </c>
      <c r="B12" s="20">
        <f>-(-2*COS(B22))/B24</f>
        <v>1.7539529259855138</v>
      </c>
      <c r="S12" s="12">
        <f t="shared" si="3"/>
        <v>14.142135623730953</v>
      </c>
      <c r="T12">
        <f t="shared" si="4"/>
        <v>1.8512012242326529E-3</v>
      </c>
      <c r="U12" s="18">
        <f t="shared" si="5"/>
        <v>3.4269449939373591E-6</v>
      </c>
      <c r="V12" s="19">
        <f t="shared" si="0"/>
        <v>-4.3272052607790101E-12</v>
      </c>
      <c r="W12">
        <f t="shared" si="1"/>
        <v>-5.6483759165968539E-2</v>
      </c>
      <c r="X12">
        <f t="shared" si="2"/>
        <v>-3.236281011243376</v>
      </c>
      <c r="Y12">
        <f t="shared" si="6"/>
        <v>643.39211747597903</v>
      </c>
    </row>
    <row r="13" spans="1:35" ht="15" customHeight="1" x14ac:dyDescent="0.35">
      <c r="A13" t="s">
        <v>21</v>
      </c>
      <c r="B13" s="20">
        <f>-(1-B23)/B24</f>
        <v>-0.76908771664328623</v>
      </c>
      <c r="C13" s="25"/>
      <c r="S13" s="12">
        <f t="shared" si="3"/>
        <v>15.422108254079411</v>
      </c>
      <c r="T13">
        <f t="shared" si="4"/>
        <v>2.0187492497450994E-3</v>
      </c>
      <c r="U13" s="18">
        <f t="shared" si="5"/>
        <v>4.0753471493077851E-6</v>
      </c>
      <c r="V13" s="19">
        <f t="shared" si="0"/>
        <v>-4.3343106881366111E-12</v>
      </c>
      <c r="W13">
        <f t="shared" si="1"/>
        <v>-6.159520487383182E-2</v>
      </c>
      <c r="X13">
        <f t="shared" si="2"/>
        <v>-3.5291452775142016</v>
      </c>
      <c r="Y13">
        <f t="shared" si="6"/>
        <v>643.36770766795257</v>
      </c>
    </row>
    <row r="14" spans="1:35" ht="15" customHeight="1" x14ac:dyDescent="0.35">
      <c r="B14" s="21"/>
      <c r="C14" s="25"/>
      <c r="S14" s="12">
        <f t="shared" si="3"/>
        <v>16.817928305074293</v>
      </c>
      <c r="T14">
        <f t="shared" si="4"/>
        <v>2.2014616671592185E-3</v>
      </c>
      <c r="U14" s="18">
        <f t="shared" si="5"/>
        <v>4.8464315146453117E-6</v>
      </c>
      <c r="V14" s="19">
        <f t="shared" si="0"/>
        <v>-4.3272052607790101E-12</v>
      </c>
      <c r="W14">
        <f t="shared" si="1"/>
        <v>-6.7169047050323671E-2</v>
      </c>
      <c r="X14">
        <f t="shared" si="2"/>
        <v>-3.8485029098991976</v>
      </c>
      <c r="Y14">
        <f t="shared" si="6"/>
        <v>643.33868178886155</v>
      </c>
    </row>
    <row r="15" spans="1:35" x14ac:dyDescent="0.35">
      <c r="A15" t="s">
        <v>22</v>
      </c>
      <c r="B15" s="20">
        <f>(1-B23)/B24</f>
        <v>0.76908771664328623</v>
      </c>
      <c r="S15" s="12">
        <f t="shared" si="3"/>
        <v>18.340080864093427</v>
      </c>
      <c r="T15">
        <f t="shared" si="4"/>
        <v>2.4007109712032774E-3</v>
      </c>
      <c r="U15" s="18">
        <f t="shared" si="5"/>
        <v>5.7634103991787035E-6</v>
      </c>
      <c r="V15" s="19">
        <f t="shared" si="0"/>
        <v>-4.3272052607790101E-12</v>
      </c>
      <c r="W15">
        <f t="shared" si="1"/>
        <v>-7.3247068233695117E-2</v>
      </c>
      <c r="X15">
        <f t="shared" si="2"/>
        <v>-4.1967478714974913</v>
      </c>
      <c r="Y15">
        <f t="shared" si="6"/>
        <v>643.30416745467812</v>
      </c>
    </row>
    <row r="16" spans="1:35" x14ac:dyDescent="0.35">
      <c r="A16" t="s">
        <v>23</v>
      </c>
      <c r="B16" s="20">
        <f>(-2*(COS(B22)))/B24</f>
        <v>-1.7539529259855138</v>
      </c>
      <c r="S16" s="12">
        <f t="shared" si="3"/>
        <v>20.000000000000004</v>
      </c>
      <c r="T16">
        <f t="shared" si="4"/>
        <v>2.6179938779914949E-3</v>
      </c>
      <c r="U16" s="18">
        <f t="shared" si="5"/>
        <v>6.8538880305489414E-6</v>
      </c>
      <c r="V16" s="19">
        <f t="shared" si="0"/>
        <v>-4.3272052607790101E-12</v>
      </c>
      <c r="W16">
        <f t="shared" si="1"/>
        <v>-7.9874812458853001E-2</v>
      </c>
      <c r="X16">
        <f t="shared" si="2"/>
        <v>-4.5764896432912421</v>
      </c>
      <c r="Y16">
        <f t="shared" si="6"/>
        <v>643.26312763792953</v>
      </c>
    </row>
    <row r="17" spans="1:25" x14ac:dyDescent="0.35">
      <c r="A17" t="s">
        <v>24</v>
      </c>
      <c r="B17" s="20">
        <f>(1+B23)/B24</f>
        <v>1</v>
      </c>
      <c r="S17" s="12">
        <f t="shared" si="3"/>
        <v>21.810154653305158</v>
      </c>
      <c r="T17">
        <f t="shared" si="4"/>
        <v>2.8549425680200304E-3</v>
      </c>
      <c r="U17" s="18">
        <f t="shared" si="5"/>
        <v>8.1506915305390883E-6</v>
      </c>
      <c r="V17" s="19">
        <f t="shared" si="0"/>
        <v>-4.3200998334214091E-12</v>
      </c>
      <c r="W17">
        <f t="shared" si="1"/>
        <v>-8.7101919729587987E-2</v>
      </c>
      <c r="X17">
        <f t="shared" si="2"/>
        <v>-4.9905723879926684</v>
      </c>
      <c r="Y17">
        <f t="shared" si="6"/>
        <v>643.21432968885335</v>
      </c>
    </row>
    <row r="18" spans="1:25" x14ac:dyDescent="0.35">
      <c r="S18" s="12">
        <f t="shared" si="3"/>
        <v>23.784142300054427</v>
      </c>
      <c r="T18">
        <f t="shared" si="4"/>
        <v>3.1133369467410514E-3</v>
      </c>
      <c r="U18" s="18">
        <f t="shared" si="5"/>
        <v>9.6928591146396239E-6</v>
      </c>
      <c r="V18" s="19">
        <f t="shared" si="0"/>
        <v>-4.3200998334214091E-12</v>
      </c>
      <c r="W18">
        <f t="shared" si="1"/>
        <v>-9.4982488994570707E-2</v>
      </c>
      <c r="X18">
        <f t="shared" si="2"/>
        <v>-5.4420957470366913</v>
      </c>
      <c r="Y18">
        <f t="shared" si="6"/>
        <v>643.15630856657526</v>
      </c>
    </row>
    <row r="19" spans="1:25" x14ac:dyDescent="0.35">
      <c r="A19" t="s">
        <v>34</v>
      </c>
      <c r="B19" s="24" t="str">
        <f>IF(ABS(AD9)&lt;1,"Stable","Not stable")</f>
        <v>Stable</v>
      </c>
      <c r="S19" s="12">
        <f t="shared" si="3"/>
        <v>25.936791093020201</v>
      </c>
      <c r="T19">
        <f t="shared" si="4"/>
        <v>3.39511801481356E-3</v>
      </c>
      <c r="U19" s="18">
        <f t="shared" si="5"/>
        <v>1.1526815262205378E-5</v>
      </c>
      <c r="V19" s="19">
        <f t="shared" si="0"/>
        <v>-4.3272052607790101E-12</v>
      </c>
      <c r="W19">
        <f t="shared" si="1"/>
        <v>-0.10357547168425763</v>
      </c>
      <c r="X19">
        <f t="shared" si="2"/>
        <v>-5.9344373885847261</v>
      </c>
      <c r="Y19">
        <f t="shared" si="6"/>
        <v>643.08732321406444</v>
      </c>
    </row>
    <row r="20" spans="1:25" x14ac:dyDescent="0.35">
      <c r="S20" s="12">
        <f t="shared" si="3"/>
        <v>28.284271247461909</v>
      </c>
      <c r="T20">
        <f t="shared" si="4"/>
        <v>3.7024024484653062E-3</v>
      </c>
      <c r="U20" s="18">
        <f t="shared" si="5"/>
        <v>1.3707768231797451E-5</v>
      </c>
      <c r="V20" s="19">
        <f t="shared" si="0"/>
        <v>-4.3200998334214091E-12</v>
      </c>
      <c r="W20">
        <f t="shared" si="1"/>
        <v>-0.11294509789812769</v>
      </c>
      <c r="X20">
        <f t="shared" si="2"/>
        <v>-6.4712774262546215</v>
      </c>
      <c r="Y20">
        <f t="shared" si="6"/>
        <v>643.00530482190959</v>
      </c>
    </row>
    <row r="21" spans="1:25" x14ac:dyDescent="0.35">
      <c r="A21" s="1"/>
      <c r="S21" s="12">
        <f t="shared" si="3"/>
        <v>30.844216508158826</v>
      </c>
      <c r="T21">
        <f t="shared" si="4"/>
        <v>4.0374984994901997E-3</v>
      </c>
      <c r="U21" s="18">
        <f t="shared" si="5"/>
        <v>1.6301371988776759E-5</v>
      </c>
      <c r="V21" s="19">
        <f t="shared" si="0"/>
        <v>-4.3200998334214091E-12</v>
      </c>
      <c r="W21">
        <f t="shared" si="1"/>
        <v>-0.12316133732189072</v>
      </c>
      <c r="X21">
        <f t="shared" si="2"/>
        <v>-7.0566248277314072</v>
      </c>
      <c r="Y21">
        <f t="shared" si="6"/>
        <v>642.90779550427624</v>
      </c>
    </row>
    <row r="22" spans="1:25" x14ac:dyDescent="0.35">
      <c r="A22" t="s">
        <v>52</v>
      </c>
      <c r="B22">
        <f>2*PI()*B3/B6</f>
        <v>0.1308996938995747</v>
      </c>
      <c r="S22" s="12">
        <f t="shared" si="3"/>
        <v>33.635856610148593</v>
      </c>
      <c r="T22">
        <f t="shared" si="4"/>
        <v>4.4029233343184379E-3</v>
      </c>
      <c r="U22" s="18">
        <f t="shared" si="5"/>
        <v>1.9385702570682833E-5</v>
      </c>
      <c r="V22" s="19">
        <f t="shared" si="0"/>
        <v>-4.3200998334214091E-12</v>
      </c>
      <c r="W22">
        <f t="shared" si="1"/>
        <v>-0.13430039688557641</v>
      </c>
      <c r="X22">
        <f t="shared" si="2"/>
        <v>-7.6948459284754334</v>
      </c>
      <c r="Y22">
        <f t="shared" si="6"/>
        <v>642.79187565614734</v>
      </c>
    </row>
    <row r="23" spans="1:25" x14ac:dyDescent="0.35">
      <c r="A23" t="s">
        <v>53</v>
      </c>
      <c r="B23">
        <f>SIN(B22)/(2*B4)</f>
        <v>0.13052619222005157</v>
      </c>
      <c r="S23" s="12">
        <f t="shared" si="3"/>
        <v>36.68016172818686</v>
      </c>
      <c r="T23">
        <f t="shared" si="4"/>
        <v>4.8014219424065549E-3</v>
      </c>
      <c r="U23" s="18">
        <f t="shared" si="5"/>
        <v>2.3053608379815388E-5</v>
      </c>
      <c r="V23" s="19">
        <f t="shared" si="0"/>
        <v>-4.3129944060638081E-12</v>
      </c>
      <c r="W23">
        <f t="shared" si="1"/>
        <v>-0.14644525702387357</v>
      </c>
      <c r="X23">
        <f t="shared" si="2"/>
        <v>-8.3906951571765305</v>
      </c>
      <c r="Y23">
        <f t="shared" si="6"/>
        <v>642.65407796716863</v>
      </c>
    </row>
    <row r="24" spans="1:25" x14ac:dyDescent="0.35">
      <c r="A24" t="s">
        <v>19</v>
      </c>
      <c r="B24">
        <f>1+B23</f>
        <v>1.1305261922200516</v>
      </c>
      <c r="S24" s="12">
        <f t="shared" si="3"/>
        <v>40.000000000000014</v>
      </c>
      <c r="T24">
        <f t="shared" si="4"/>
        <v>5.2359877559829907E-3</v>
      </c>
      <c r="U24" s="18">
        <f t="shared" si="5"/>
        <v>2.7415505146414638E-5</v>
      </c>
      <c r="V24" s="19">
        <f t="shared" si="0"/>
        <v>-4.3129944060638081E-12</v>
      </c>
      <c r="W24">
        <f t="shared" si="1"/>
        <v>-0.15968624814095733</v>
      </c>
      <c r="X24">
        <f t="shared" si="2"/>
        <v>-9.1493480647556424</v>
      </c>
      <c r="Y24">
        <f t="shared" si="6"/>
        <v>642.49028573228065</v>
      </c>
    </row>
    <row r="25" spans="1:25" x14ac:dyDescent="0.35">
      <c r="S25" s="12">
        <f t="shared" si="3"/>
        <v>43.620309306610324</v>
      </c>
      <c r="T25">
        <f t="shared" si="4"/>
        <v>5.7098851360400608E-3</v>
      </c>
      <c r="U25" s="18">
        <f t="shared" si="5"/>
        <v>3.2602699688383923E-5</v>
      </c>
      <c r="V25" s="19">
        <f t="shared" si="0"/>
        <v>-4.2987835513486061E-12</v>
      </c>
      <c r="W25">
        <f t="shared" si="1"/>
        <v>-0.17412166847640417</v>
      </c>
      <c r="X25">
        <f t="shared" si="2"/>
        <v>-9.9764367254740698</v>
      </c>
      <c r="Y25">
        <f t="shared" si="6"/>
        <v>642.29561271995294</v>
      </c>
    </row>
    <row r="26" spans="1:25" x14ac:dyDescent="0.35">
      <c r="S26" s="12">
        <f t="shared" si="3"/>
        <v>47.568284600108861</v>
      </c>
      <c r="T26">
        <f t="shared" si="4"/>
        <v>6.2266738934821028E-3</v>
      </c>
      <c r="U26" s="18">
        <f t="shared" si="5"/>
        <v>3.8771342507040672E-5</v>
      </c>
      <c r="V26" s="19">
        <f t="shared" si="0"/>
        <v>-4.2987835513486061E-12</v>
      </c>
      <c r="W26">
        <f t="shared" si="1"/>
        <v>-0.18985844396867668</v>
      </c>
      <c r="X26">
        <f t="shared" si="2"/>
        <v>-10.878087544326194</v>
      </c>
      <c r="Y26">
        <f t="shared" si="6"/>
        <v>642.06426143497447</v>
      </c>
    </row>
    <row r="27" spans="1:25" x14ac:dyDescent="0.35">
      <c r="S27" s="12">
        <f t="shared" si="3"/>
        <v>51.873582186040409</v>
      </c>
      <c r="T27">
        <f t="shared" si="4"/>
        <v>6.7902360296271218E-3</v>
      </c>
      <c r="U27" s="18">
        <f t="shared" si="5"/>
        <v>4.6107128181351442E-5</v>
      </c>
      <c r="V27" s="19">
        <f t="shared" si="0"/>
        <v>-4.2987835513486061E-12</v>
      </c>
      <c r="W27">
        <f t="shared" si="1"/>
        <v>-0.20701282985693745</v>
      </c>
      <c r="X27">
        <f t="shared" si="2"/>
        <v>-11.860961455862313</v>
      </c>
      <c r="Y27">
        <f t="shared" si="6"/>
        <v>641.78935614777629</v>
      </c>
    </row>
    <row r="28" spans="1:25" x14ac:dyDescent="0.35">
      <c r="S28" s="12">
        <f t="shared" si="3"/>
        <v>56.568542494923825</v>
      </c>
      <c r="T28">
        <f t="shared" si="4"/>
        <v>7.4048048969306141E-3</v>
      </c>
      <c r="U28" s="18">
        <f t="shared" si="5"/>
        <v>5.4830885024279924E-5</v>
      </c>
      <c r="V28" s="19">
        <f t="shared" si="0"/>
        <v>-4.2845726966334041E-12</v>
      </c>
      <c r="W28">
        <f t="shared" si="1"/>
        <v>-0.22571115257232849</v>
      </c>
      <c r="X28">
        <f t="shared" si="2"/>
        <v>-12.932296431427817</v>
      </c>
      <c r="Y28">
        <f t="shared" si="6"/>
        <v>641.46274656060655</v>
      </c>
    </row>
    <row r="29" spans="1:25" x14ac:dyDescent="0.35">
      <c r="S29" s="12">
        <f t="shared" si="3"/>
        <v>61.68843301631766</v>
      </c>
      <c r="T29">
        <f t="shared" si="4"/>
        <v>8.0749969989804011E-3</v>
      </c>
      <c r="U29" s="18">
        <f t="shared" si="5"/>
        <v>6.5205222220378339E-5</v>
      </c>
      <c r="V29" s="19">
        <f t="shared" si="0"/>
        <v>-4.2845726966334041E-12</v>
      </c>
      <c r="W29">
        <f t="shared" si="1"/>
        <v>-0.24609058884731722</v>
      </c>
      <c r="X29">
        <f t="shared" si="2"/>
        <v>-14.099952118840482</v>
      </c>
      <c r="Y29">
        <f t="shared" si="6"/>
        <v>641.07477745968868</v>
      </c>
    </row>
    <row r="30" spans="1:25" x14ac:dyDescent="0.35">
      <c r="S30" s="12">
        <f t="shared" si="3"/>
        <v>67.271713220297201</v>
      </c>
      <c r="T30">
        <f t="shared" si="4"/>
        <v>8.8058466686368776E-3</v>
      </c>
      <c r="U30" s="18">
        <f t="shared" si="5"/>
        <v>7.7542434477267176E-5</v>
      </c>
      <c r="V30" s="19">
        <f t="shared" si="0"/>
        <v>-4.2703618419182021E-12</v>
      </c>
      <c r="W30">
        <f t="shared" si="1"/>
        <v>-0.26829997679159479</v>
      </c>
      <c r="X30">
        <f t="shared" si="2"/>
        <v>-15.372456313616318</v>
      </c>
      <c r="Y30">
        <f t="shared" si="6"/>
        <v>640.61401918578883</v>
      </c>
    </row>
    <row r="31" spans="1:25" x14ac:dyDescent="0.35">
      <c r="S31" s="12">
        <f t="shared" si="3"/>
        <v>73.360323456373735</v>
      </c>
      <c r="T31">
        <f t="shared" si="4"/>
        <v>9.6028438848131132E-3</v>
      </c>
      <c r="U31" s="18">
        <f t="shared" si="5"/>
        <v>9.2213902050402276E-5</v>
      </c>
      <c r="V31" s="19">
        <f t="shared" si="0"/>
        <v>-4.2561509872030001E-12</v>
      </c>
      <c r="W31">
        <f t="shared" si="1"/>
        <v>-0.29250065078987209</v>
      </c>
      <c r="X31">
        <f t="shared" si="2"/>
        <v>-16.759052795089598</v>
      </c>
      <c r="Y31">
        <f t="shared" si="6"/>
        <v>640.06695328114768</v>
      </c>
    </row>
    <row r="32" spans="1:25" x14ac:dyDescent="0.35">
      <c r="S32" s="12">
        <f t="shared" si="3"/>
        <v>80.000000000000043</v>
      </c>
      <c r="T32">
        <f t="shared" si="4"/>
        <v>1.0471975511965983E-2</v>
      </c>
      <c r="U32" s="18">
        <f t="shared" si="5"/>
        <v>1.0966126897573617E-4</v>
      </c>
      <c r="V32" s="19">
        <f t="shared" si="0"/>
        <v>-4.2419401324877981E-12</v>
      </c>
      <c r="W32">
        <f t="shared" si="1"/>
        <v>-0.31886728827860028</v>
      </c>
      <c r="X32">
        <f t="shared" si="2"/>
        <v>-18.269749843145142</v>
      </c>
      <c r="Y32">
        <f t="shared" si="6"/>
        <v>639.41760730345538</v>
      </c>
    </row>
    <row r="33" spans="19:25" x14ac:dyDescent="0.35">
      <c r="S33" s="12">
        <f t="shared" si="3"/>
        <v>87.240618613220661</v>
      </c>
      <c r="T33">
        <f t="shared" si="4"/>
        <v>1.1419770272080123E-2</v>
      </c>
      <c r="U33" s="18">
        <f t="shared" si="5"/>
        <v>1.3040973581750876E-4</v>
      </c>
      <c r="V33" s="19">
        <f t="shared" si="0"/>
        <v>-4.2348347051301971E-12</v>
      </c>
      <c r="W33">
        <f t="shared" si="1"/>
        <v>-0.34758875152139707</v>
      </c>
      <c r="X33">
        <f t="shared" si="2"/>
        <v>-19.915368468397524</v>
      </c>
      <c r="Y33">
        <f t="shared" si="6"/>
        <v>638.64713262801729</v>
      </c>
    </row>
    <row r="34" spans="19:25" x14ac:dyDescent="0.35">
      <c r="S34" s="12">
        <f t="shared" si="3"/>
        <v>95.136569200217735</v>
      </c>
      <c r="T34">
        <f t="shared" si="4"/>
        <v>1.2453347786964209E-2</v>
      </c>
      <c r="U34" s="18">
        <f t="shared" si="5"/>
        <v>1.5508386681116297E-4</v>
      </c>
      <c r="V34" s="19">
        <f t="shared" si="0"/>
        <v>-4.2064129956997931E-12</v>
      </c>
      <c r="W34">
        <f t="shared" si="1"/>
        <v>-0.37886890114611843</v>
      </c>
      <c r="X34">
        <f t="shared" si="2"/>
        <v>-21.707589024431783</v>
      </c>
      <c r="Y34">
        <f t="shared" si="6"/>
        <v>637.73331921885028</v>
      </c>
    </row>
    <row r="35" spans="19:25" x14ac:dyDescent="0.35">
      <c r="S35" s="12">
        <f t="shared" si="3"/>
        <v>103.74716437208083</v>
      </c>
      <c r="T35">
        <f t="shared" si="4"/>
        <v>1.3580472059254244E-2</v>
      </c>
      <c r="U35" s="18">
        <f t="shared" si="5"/>
        <v>1.8442638685813666E-4</v>
      </c>
      <c r="V35" s="19">
        <f t="shared" si="0"/>
        <v>-4.1850967136269901E-12</v>
      </c>
      <c r="W35">
        <f t="shared" si="1"/>
        <v>-0.41292735010120507</v>
      </c>
      <c r="X35">
        <f t="shared" si="2"/>
        <v>-23.658994406319998</v>
      </c>
      <c r="Y35">
        <f t="shared" si="6"/>
        <v>636.65004202994783</v>
      </c>
    </row>
    <row r="36" spans="19:25" x14ac:dyDescent="0.35">
      <c r="S36" s="12">
        <f t="shared" si="3"/>
        <v>113.13708498984766</v>
      </c>
      <c r="T36">
        <f t="shared" si="4"/>
        <v>1.4809609793861228E-2</v>
      </c>
      <c r="U36" s="18">
        <f t="shared" si="5"/>
        <v>2.1932053367116719E-4</v>
      </c>
      <c r="V36" s="19">
        <f t="shared" si="0"/>
        <v>-4.1637804315541871E-12</v>
      </c>
      <c r="W36">
        <f t="shared" si="1"/>
        <v>-0.45000011646077892</v>
      </c>
      <c r="X36">
        <f t="shared" si="2"/>
        <v>-25.783107453598156</v>
      </c>
      <c r="Y36">
        <f t="shared" si="6"/>
        <v>635.36663515776036</v>
      </c>
    </row>
    <row r="37" spans="19:25" x14ac:dyDescent="0.35">
      <c r="S37" s="12">
        <f t="shared" si="3"/>
        <v>123.37686603263533</v>
      </c>
      <c r="T37">
        <f t="shared" si="4"/>
        <v>1.6149993997960802E-2</v>
      </c>
      <c r="U37" s="18">
        <f t="shared" si="5"/>
        <v>2.6081663716050852E-4</v>
      </c>
      <c r="V37" s="19">
        <f t="shared" si="0"/>
        <v>-4.1282532947661821E-12</v>
      </c>
      <c r="W37">
        <f t="shared" si="1"/>
        <v>-0.49034012074876021</v>
      </c>
      <c r="X37">
        <f t="shared" si="2"/>
        <v>-28.094419444839129</v>
      </c>
      <c r="Y37">
        <f t="shared" si="6"/>
        <v>633.84719245999804</v>
      </c>
    </row>
    <row r="38" spans="19:25" x14ac:dyDescent="0.35">
      <c r="S38" s="12">
        <f t="shared" si="3"/>
        <v>134.5434264405944</v>
      </c>
      <c r="T38">
        <f t="shared" si="4"/>
        <v>1.7611693337273755E-2</v>
      </c>
      <c r="U38" s="18">
        <f t="shared" si="5"/>
        <v>3.1016372507992407E-4</v>
      </c>
      <c r="V38" s="19">
        <f t="shared" si="0"/>
        <v>-4.0927261579781771E-12</v>
      </c>
      <c r="W38">
        <f t="shared" si="1"/>
        <v>-0.5342174577466845</v>
      </c>
      <c r="X38">
        <f t="shared" si="2"/>
        <v>-30.608405671093408</v>
      </c>
      <c r="Y38">
        <f t="shared" si="6"/>
        <v>632.04979754712576</v>
      </c>
    </row>
    <row r="39" spans="19:25" x14ac:dyDescent="0.35">
      <c r="S39" s="12">
        <f t="shared" si="3"/>
        <v>146.72064691274747</v>
      </c>
      <c r="T39">
        <f t="shared" si="4"/>
        <v>1.9205687769626226E-2</v>
      </c>
      <c r="U39" s="18">
        <f t="shared" si="5"/>
        <v>3.6884710479787779E-4</v>
      </c>
      <c r="V39" s="19">
        <f t="shared" si="0"/>
        <v>-4.0500935938325711E-12</v>
      </c>
      <c r="W39">
        <f t="shared" si="1"/>
        <v>-0.58191935372347336</v>
      </c>
      <c r="X39">
        <f t="shared" si="2"/>
        <v>-33.341522985335487</v>
      </c>
      <c r="Y39">
        <f t="shared" si="6"/>
        <v>629.92569243884304</v>
      </c>
    </row>
    <row r="40" spans="19:25" x14ac:dyDescent="0.35">
      <c r="S40" s="12">
        <f t="shared" si="3"/>
        <v>160.00000000000009</v>
      </c>
      <c r="T40">
        <f t="shared" si="4"/>
        <v>2.0943951023931966E-2</v>
      </c>
      <c r="U40" s="18">
        <f t="shared" si="5"/>
        <v>4.3863305030903126E-4</v>
      </c>
      <c r="V40" s="19">
        <f t="shared" si="0"/>
        <v>-3.993250174971763E-12</v>
      </c>
      <c r="W40">
        <f t="shared" si="1"/>
        <v>-0.63374969742858844</v>
      </c>
      <c r="X40">
        <f t="shared" si="2"/>
        <v>-36.311182930351038</v>
      </c>
      <c r="Y40">
        <f t="shared" si="6"/>
        <v>627.41840349030633</v>
      </c>
    </row>
    <row r="41" spans="19:25" x14ac:dyDescent="0.35">
      <c r="S41" s="12">
        <f t="shared" si="3"/>
        <v>174.48123722644132</v>
      </c>
      <c r="T41">
        <f t="shared" si="4"/>
        <v>2.2839540544160247E-2</v>
      </c>
      <c r="U41" s="18">
        <f t="shared" si="5"/>
        <v>5.21621936570839E-4</v>
      </c>
      <c r="V41" s="19">
        <f t="shared" si="0"/>
        <v>-3.929301328753354E-12</v>
      </c>
      <c r="W41">
        <f t="shared" si="1"/>
        <v>-0.69002800702767775</v>
      </c>
      <c r="X41">
        <f t="shared" si="2"/>
        <v>-39.535692548509445</v>
      </c>
      <c r="Y41">
        <f t="shared" si="6"/>
        <v>624.46285628350745</v>
      </c>
    </row>
    <row r="42" spans="19:25" x14ac:dyDescent="0.35">
      <c r="S42" s="12">
        <f t="shared" si="3"/>
        <v>190.27313840043547</v>
      </c>
      <c r="T42">
        <f t="shared" si="4"/>
        <v>2.4906695573928418E-2</v>
      </c>
      <c r="U42" s="18">
        <f t="shared" si="5"/>
        <v>6.2031141623890697E-4</v>
      </c>
      <c r="V42" s="19">
        <f t="shared" si="0"/>
        <v>-3.865352482534945E-12</v>
      </c>
      <c r="W42">
        <f t="shared" si="1"/>
        <v>-0.75108766588915143</v>
      </c>
      <c r="X42">
        <f t="shared" si="2"/>
        <v>-43.034153299780463</v>
      </c>
      <c r="Y42">
        <f t="shared" si="6"/>
        <v>620.98452897232289</v>
      </c>
    </row>
    <row r="43" spans="19:25" x14ac:dyDescent="0.35">
      <c r="S43" s="12">
        <f t="shared" si="3"/>
        <v>207.49432874416166</v>
      </c>
      <c r="T43">
        <f t="shared" si="4"/>
        <v>2.7160944118508487E-2</v>
      </c>
      <c r="U43" s="18">
        <f t="shared" si="5"/>
        <v>7.3767153434037692E-4</v>
      </c>
      <c r="V43" s="19">
        <f t="shared" si="0"/>
        <v>-3.780087354243733E-12</v>
      </c>
      <c r="W43">
        <f t="shared" si="1"/>
        <v>-0.81727322894110244</v>
      </c>
      <c r="X43">
        <f t="shared" si="2"/>
        <v>-46.826306727354257</v>
      </c>
      <c r="Y43">
        <f t="shared" si="6"/>
        <v>616.8987169202702</v>
      </c>
    </row>
    <row r="44" spans="19:25" x14ac:dyDescent="0.35">
      <c r="S44" s="12">
        <f t="shared" si="3"/>
        <v>226.27416997969533</v>
      </c>
      <c r="T44">
        <f t="shared" si="4"/>
        <v>2.9619219587722456E-2</v>
      </c>
      <c r="U44" s="18">
        <f t="shared" si="5"/>
        <v>8.7723403318817894E-4</v>
      </c>
      <c r="V44" s="19">
        <f t="shared" si="0"/>
        <v>-3.68771679859492E-12</v>
      </c>
      <c r="W44">
        <f t="shared" si="1"/>
        <v>-0.88893657051085062</v>
      </c>
      <c r="X44">
        <f t="shared" si="2"/>
        <v>-50.932313745105255</v>
      </c>
      <c r="Y44">
        <f t="shared" si="6"/>
        <v>612.11001093850234</v>
      </c>
    </row>
    <row r="45" spans="19:25" x14ac:dyDescent="0.35">
      <c r="S45" s="12">
        <f t="shared" si="3"/>
        <v>246.75373206527067</v>
      </c>
      <c r="T45">
        <f t="shared" si="4"/>
        <v>3.2299987995921604E-2</v>
      </c>
      <c r="U45" s="18">
        <f t="shared" si="5"/>
        <v>1.0431985233238144E-3</v>
      </c>
      <c r="V45" s="19">
        <f t="shared" si="0"/>
        <v>-3.5811353882309049E-12</v>
      </c>
      <c r="W45">
        <f t="shared" si="1"/>
        <v>-0.96643161802172861</v>
      </c>
      <c r="X45">
        <f t="shared" si="2"/>
        <v>-55.372452900644362</v>
      </c>
      <c r="Y45">
        <f t="shared" si="6"/>
        <v>606.51212688815326</v>
      </c>
    </row>
    <row r="46" spans="19:25" x14ac:dyDescent="0.35">
      <c r="S46" s="12">
        <f t="shared" si="3"/>
        <v>269.0868528811888</v>
      </c>
      <c r="T46">
        <f t="shared" si="4"/>
        <v>3.522338667454751E-2</v>
      </c>
      <c r="U46" s="18">
        <f t="shared" si="5"/>
        <v>1.2405586987833408E-3</v>
      </c>
      <c r="V46" s="19">
        <f t="shared" si="0"/>
        <v>-3.4461322684364859E-12</v>
      </c>
      <c r="W46">
        <f t="shared" si="1"/>
        <v>-1.0501073996690271</v>
      </c>
      <c r="X46">
        <f t="shared" si="2"/>
        <v>-60.166722036492793</v>
      </c>
      <c r="Y46">
        <f t="shared" si="6"/>
        <v>599.98826443451617</v>
      </c>
    </row>
    <row r="47" spans="19:25" x14ac:dyDescent="0.35">
      <c r="S47" s="12">
        <f t="shared" si="3"/>
        <v>293.44129382549494</v>
      </c>
      <c r="T47">
        <f t="shared" si="4"/>
        <v>3.8411375539252453E-2</v>
      </c>
      <c r="U47" s="18">
        <f t="shared" si="5"/>
        <v>1.4752523710047933E-3</v>
      </c>
      <c r="V47" s="19">
        <f t="shared" si="0"/>
        <v>-3.3111291486420669E-12</v>
      </c>
      <c r="W47">
        <f t="shared" si="1"/>
        <v>-1.1402991368912225</v>
      </c>
      <c r="X47">
        <f t="shared" si="2"/>
        <v>-65.334327926277567</v>
      </c>
      <c r="Y47">
        <f t="shared" si="6"/>
        <v>592.41221381576372</v>
      </c>
    </row>
    <row r="48" spans="19:25" x14ac:dyDescent="0.35">
      <c r="S48" s="12">
        <f t="shared" si="3"/>
        <v>320.00000000000017</v>
      </c>
      <c r="T48">
        <f t="shared" si="4"/>
        <v>4.1887902047863933E-2</v>
      </c>
      <c r="U48" s="18">
        <f t="shared" si="5"/>
        <v>1.7543398022833016E-3</v>
      </c>
      <c r="V48" s="19">
        <f t="shared" si="0"/>
        <v>-3.1477043194172438E-12</v>
      </c>
      <c r="W48">
        <f t="shared" si="1"/>
        <v>-1.2373171457192647</v>
      </c>
      <c r="X48">
        <f t="shared" si="2"/>
        <v>-70.893050368887344</v>
      </c>
      <c r="Y48">
        <f t="shared" si="6"/>
        <v>583.65046500767323</v>
      </c>
    </row>
    <row r="49" spans="19:25" x14ac:dyDescent="0.35">
      <c r="S49" s="12">
        <f t="shared" si="3"/>
        <v>348.96247445288265</v>
      </c>
      <c r="T49">
        <f t="shared" si="4"/>
        <v>4.5679081088320493E-2</v>
      </c>
      <c r="U49" s="18">
        <f t="shared" si="5"/>
        <v>2.086215656838644E-3</v>
      </c>
      <c r="V49" s="19">
        <f t="shared" si="0"/>
        <v>-2.9558577807620168E-12</v>
      </c>
      <c r="W49">
        <f t="shared" si="1"/>
        <v>-1.3414333893178079</v>
      </c>
      <c r="X49">
        <f t="shared" si="2"/>
        <v>-76.858471705839847</v>
      </c>
      <c r="Y49">
        <f t="shared" si="6"/>
        <v>573.56559296551859</v>
      </c>
    </row>
    <row r="50" spans="19:25" x14ac:dyDescent="0.35">
      <c r="S50" s="12">
        <f t="shared" si="3"/>
        <v>380.54627680087094</v>
      </c>
      <c r="T50">
        <f t="shared" si="4"/>
        <v>4.9813391147856836E-2</v>
      </c>
      <c r="U50" s="18">
        <f t="shared" si="5"/>
        <v>2.480860878702511E-3</v>
      </c>
      <c r="V50" s="19">
        <f t="shared" si="0"/>
        <v>-2.7498003873915877E-12</v>
      </c>
      <c r="W50">
        <f t="shared" si="1"/>
        <v>-1.4528656632339632</v>
      </c>
      <c r="X50">
        <f t="shared" si="2"/>
        <v>-83.243070702781267</v>
      </c>
      <c r="Y50">
        <f t="shared" si="6"/>
        <v>562.02118042934353</v>
      </c>
    </row>
    <row r="51" spans="19:25" x14ac:dyDescent="0.35">
      <c r="S51" s="12">
        <f t="shared" si="3"/>
        <v>414.98865748832333</v>
      </c>
      <c r="T51">
        <f t="shared" si="4"/>
        <v>5.4321888237016974E-2</v>
      </c>
      <c r="U51" s="18">
        <f t="shared" si="5"/>
        <v>2.9501419780689321E-3</v>
      </c>
      <c r="V51" s="19">
        <f t="shared" si="0"/>
        <v>-2.5224267119483557E-12</v>
      </c>
      <c r="W51">
        <f t="shared" si="1"/>
        <v>-1.5717596099794633</v>
      </c>
      <c r="X51">
        <f t="shared" si="2"/>
        <v>-90.055192060951597</v>
      </c>
      <c r="Y51">
        <f t="shared" si="6"/>
        <v>548.88847675474904</v>
      </c>
    </row>
    <row r="52" spans="19:25" x14ac:dyDescent="0.35">
      <c r="S52" s="12">
        <f t="shared" si="3"/>
        <v>452.54833995939066</v>
      </c>
      <c r="T52">
        <f t="shared" si="4"/>
        <v>5.9238439175444912E-2</v>
      </c>
      <c r="U52" s="18">
        <f t="shared" si="5"/>
        <v>3.5081665932037319E-3</v>
      </c>
      <c r="V52" s="19">
        <f t="shared" si="0"/>
        <v>-2.2737367544323206E-12</v>
      </c>
      <c r="W52">
        <f t="shared" si="1"/>
        <v>-1.6981690597391439</v>
      </c>
      <c r="X52">
        <f t="shared" si="2"/>
        <v>-97.297920022752308</v>
      </c>
      <c r="Y52">
        <f t="shared" si="6"/>
        <v>534.05485661048897</v>
      </c>
    </row>
    <row r="53" spans="19:25" x14ac:dyDescent="0.35">
      <c r="S53" s="12">
        <f t="shared" si="3"/>
        <v>493.50746413054134</v>
      </c>
      <c r="T53">
        <f t="shared" si="4"/>
        <v>6.4599975991843209E-2</v>
      </c>
      <c r="U53" s="18">
        <f t="shared" si="5"/>
        <v>4.1717058301361928E-3</v>
      </c>
      <c r="V53" s="19">
        <f t="shared" si="0"/>
        <v>-2.0108359422010835E-12</v>
      </c>
      <c r="W53">
        <f t="shared" si="1"/>
        <v>-1.832035575636586</v>
      </c>
      <c r="X53">
        <f t="shared" si="2"/>
        <v>-104.96790640179668</v>
      </c>
      <c r="Y53">
        <f t="shared" si="6"/>
        <v>517.43391962854628</v>
      </c>
    </row>
    <row r="54" spans="19:25" x14ac:dyDescent="0.35">
      <c r="S54" s="12">
        <f t="shared" si="3"/>
        <v>538.17370576237761</v>
      </c>
      <c r="T54">
        <f t="shared" si="4"/>
        <v>7.0446773349095021E-2</v>
      </c>
      <c r="U54" s="18">
        <f t="shared" si="5"/>
        <v>4.9606958092482363E-3</v>
      </c>
      <c r="V54" s="19">
        <f t="shared" si="0"/>
        <v>-1.7337242752546445E-12</v>
      </c>
      <c r="W54">
        <f t="shared" si="1"/>
        <v>-1.9731685203071498</v>
      </c>
      <c r="X54">
        <f t="shared" si="2"/>
        <v>-113.05422848167336</v>
      </c>
      <c r="Y54">
        <f t="shared" si="6"/>
        <v>498.97675803925119</v>
      </c>
    </row>
    <row r="55" spans="19:25" x14ac:dyDescent="0.35">
      <c r="S55" s="12">
        <f t="shared" si="3"/>
        <v>586.88258765098988</v>
      </c>
      <c r="T55">
        <f t="shared" si="4"/>
        <v>7.6822751078504906E-2</v>
      </c>
      <c r="U55" s="18">
        <f t="shared" si="5"/>
        <v>5.8988331144610179E-3</v>
      </c>
      <c r="V55" s="19">
        <f t="shared" si="0"/>
        <v>-1.4424017535930034E-12</v>
      </c>
      <c r="W55">
        <f t="shared" si="1"/>
        <v>-2.1212274016653669</v>
      </c>
      <c r="X55">
        <f t="shared" si="2"/>
        <v>-121.53737750292738</v>
      </c>
      <c r="Y55">
        <f t="shared" si="6"/>
        <v>478.68353573893762</v>
      </c>
    </row>
    <row r="56" spans="19:25" x14ac:dyDescent="0.35">
      <c r="S56" s="12">
        <f t="shared" si="3"/>
        <v>640.00000000000034</v>
      </c>
      <c r="T56">
        <f t="shared" si="4"/>
        <v>8.3775804095727865E-2</v>
      </c>
      <c r="U56" s="18">
        <f t="shared" si="5"/>
        <v>7.0142815009913307E-3</v>
      </c>
      <c r="V56" s="19">
        <f t="shared" si="0"/>
        <v>-1.1439738045737613E-12</v>
      </c>
      <c r="W56">
        <f t="shared" si="1"/>
        <v>-2.2757086134186864</v>
      </c>
      <c r="X56">
        <f t="shared" si="2"/>
        <v>-130.38849895045934</v>
      </c>
      <c r="Y56">
        <f t="shared" si="6"/>
        <v>456.61412619602675</v>
      </c>
    </row>
    <row r="57" spans="19:25" x14ac:dyDescent="0.35">
      <c r="S57" s="12">
        <f t="shared" si="3"/>
        <v>697.92494890576529</v>
      </c>
      <c r="T57">
        <f t="shared" si="4"/>
        <v>9.1358162176640986E-2</v>
      </c>
      <c r="U57" s="18">
        <f t="shared" si="5"/>
        <v>8.3405103315877388E-3</v>
      </c>
      <c r="V57" s="19">
        <f t="shared" si="0"/>
        <v>-8.5265128291212022E-13</v>
      </c>
      <c r="W57">
        <f t="shared" si="1"/>
        <v>-2.4359388477314603</v>
      </c>
      <c r="X57">
        <f t="shared" si="2"/>
        <v>-139.56901512697357</v>
      </c>
      <c r="Y57">
        <f t="shared" si="6"/>
        <v>432.89624329673086</v>
      </c>
    </row>
    <row r="58" spans="19:25" x14ac:dyDescent="0.35">
      <c r="S58" s="12">
        <f t="shared" si="3"/>
        <v>761.09255360174188</v>
      </c>
      <c r="T58">
        <f t="shared" si="4"/>
        <v>9.9626782295713673E-2</v>
      </c>
      <c r="U58" s="18">
        <f t="shared" si="5"/>
        <v>9.9172888441105677E-3</v>
      </c>
      <c r="V58" s="19">
        <f t="shared" si="0"/>
        <v>-5.6843418860808015E-13</v>
      </c>
      <c r="W58">
        <f t="shared" si="1"/>
        <v>-2.6010773057694569</v>
      </c>
      <c r="X58">
        <f t="shared" si="2"/>
        <v>-149.03075180784901</v>
      </c>
      <c r="Y58">
        <f t="shared" si="6"/>
        <v>407.72938956187966</v>
      </c>
    </row>
    <row r="59" spans="19:25" x14ac:dyDescent="0.35">
      <c r="S59" s="12">
        <f t="shared" si="3"/>
        <v>829.97731497664665</v>
      </c>
      <c r="T59">
        <f t="shared" si="4"/>
        <v>0.10864377647403395</v>
      </c>
      <c r="U59" s="18">
        <f t="shared" si="5"/>
        <v>1.1791864574584964E-2</v>
      </c>
      <c r="V59" s="19">
        <f t="shared" si="0"/>
        <v>-3.0553337637684308E-13</v>
      </c>
      <c r="W59">
        <f t="shared" si="1"/>
        <v>-2.7701282790932127</v>
      </c>
      <c r="X59">
        <f t="shared" si="2"/>
        <v>-158.71665910187889</v>
      </c>
      <c r="Y59">
        <f t="shared" si="6"/>
        <v>381.38315440985338</v>
      </c>
    </row>
    <row r="60" spans="19:25" x14ac:dyDescent="0.35">
      <c r="S60" s="12">
        <f t="shared" si="3"/>
        <v>905.09667991878132</v>
      </c>
      <c r="T60">
        <f t="shared" si="4"/>
        <v>0.11847687835088982</v>
      </c>
      <c r="U60" s="18">
        <f t="shared" si="5"/>
        <v>1.4020359139969256E-2</v>
      </c>
      <c r="V60" s="19">
        <f t="shared" si="0"/>
        <v>-6.7501559897209518E-14</v>
      </c>
      <c r="W60">
        <f t="shared" si="1"/>
        <v>-2.9419647067939034</v>
      </c>
      <c r="X60">
        <f t="shared" si="2"/>
        <v>-168.56216117573337</v>
      </c>
      <c r="Y60">
        <f t="shared" si="6"/>
        <v>354.18898084454435</v>
      </c>
    </row>
    <row r="61" spans="19:25" x14ac:dyDescent="0.35">
      <c r="S61" s="12">
        <f t="shared" si="3"/>
        <v>987.01492826108267</v>
      </c>
      <c r="T61">
        <f t="shared" si="4"/>
        <v>0.12919995198368642</v>
      </c>
      <c r="U61" s="18">
        <f t="shared" si="5"/>
        <v>1.6669420191011579E-2</v>
      </c>
      <c r="V61" s="19">
        <f t="shared" si="0"/>
        <v>1.4566126083082054E-13</v>
      </c>
      <c r="W61">
        <f t="shared" si="1"/>
        <v>-3.1153620238044311</v>
      </c>
      <c r="X61">
        <f t="shared" si="2"/>
        <v>-178.4970956193286</v>
      </c>
      <c r="Y61">
        <f t="shared" si="6"/>
        <v>326.52543975082637</v>
      </c>
    </row>
    <row r="62" spans="19:25" x14ac:dyDescent="0.35">
      <c r="S62" s="12">
        <f t="shared" si="3"/>
        <v>1076.3474115247552</v>
      </c>
      <c r="T62">
        <f t="shared" si="4"/>
        <v>0.14089354669819004</v>
      </c>
      <c r="U62" s="18">
        <f t="shared" si="5"/>
        <v>1.9818174734081057E-2</v>
      </c>
      <c r="V62" s="19">
        <f t="shared" si="0"/>
        <v>3.1974423109204508E-13</v>
      </c>
      <c r="W62">
        <f t="shared" si="1"/>
        <v>-3.2890402130060568</v>
      </c>
      <c r="X62">
        <f t="shared" si="2"/>
        <v>-188.44812285405635</v>
      </c>
      <c r="Y62">
        <f t="shared" si="6"/>
        <v>298.79814225636289</v>
      </c>
    </row>
    <row r="63" spans="19:25" x14ac:dyDescent="0.35">
      <c r="S63" s="12">
        <f t="shared" si="3"/>
        <v>1173.7651753019798</v>
      </c>
      <c r="T63">
        <f t="shared" si="4"/>
        <v>0.15364550215700981</v>
      </c>
      <c r="U63" s="18">
        <f t="shared" si="5"/>
        <v>2.3560536225731808E-2</v>
      </c>
      <c r="V63" s="19">
        <f t="shared" si="0"/>
        <v>4.5830006456526462E-13</v>
      </c>
      <c r="W63">
        <f t="shared" si="1"/>
        <v>-3.461710742380729</v>
      </c>
      <c r="X63">
        <f t="shared" si="2"/>
        <v>-198.34141543351478</v>
      </c>
      <c r="Y63">
        <f t="shared" si="6"/>
        <v>271.41642397139714</v>
      </c>
    </row>
    <row r="64" spans="19:25" x14ac:dyDescent="0.35">
      <c r="S64" s="12">
        <f t="shared" si="3"/>
        <v>1280.0000000000007</v>
      </c>
      <c r="T64">
        <f t="shared" si="4"/>
        <v>0.16755160819145573</v>
      </c>
      <c r="U64" s="18">
        <f t="shared" si="5"/>
        <v>2.8007925858990177E-2</v>
      </c>
      <c r="V64" s="19">
        <f t="shared" si="0"/>
        <v>5.5777604757167865E-13</v>
      </c>
      <c r="W64">
        <f t="shared" si="1"/>
        <v>-3.6321242927772479</v>
      </c>
      <c r="X64">
        <f t="shared" si="2"/>
        <v>-208.10539264307525</v>
      </c>
      <c r="Y64">
        <f t="shared" si="6"/>
        <v>244.76957674263113</v>
      </c>
    </row>
    <row r="65" spans="19:25" x14ac:dyDescent="0.35">
      <c r="S65" s="12">
        <f t="shared" si="3"/>
        <v>1395.8498978115306</v>
      </c>
      <c r="T65">
        <f t="shared" si="4"/>
        <v>0.18271632435328197</v>
      </c>
      <c r="U65" s="18">
        <f t="shared" si="5"/>
        <v>3.3292477213759629E-2</v>
      </c>
      <c r="V65" s="19">
        <f t="shared" si="0"/>
        <v>6.3238303482648917E-13</v>
      </c>
      <c r="W65">
        <f t="shared" si="1"/>
        <v>-3.799115053944182</v>
      </c>
      <c r="X65">
        <f t="shared" si="2"/>
        <v>-217.6732584756177</v>
      </c>
      <c r="Y65">
        <f t="shared" si="6"/>
        <v>219.20549550192254</v>
      </c>
    </row>
    <row r="66" spans="19:25" x14ac:dyDescent="0.35">
      <c r="S66" s="12">
        <f t="shared" si="3"/>
        <v>1522.1851072034838</v>
      </c>
      <c r="T66">
        <f t="shared" si="4"/>
        <v>0.19925356459142735</v>
      </c>
      <c r="U66" s="18">
        <f t="shared" si="5"/>
        <v>3.9570802758424749E-2</v>
      </c>
      <c r="V66" s="19">
        <f t="shared" si="0"/>
        <v>6.6791017161449417E-13</v>
      </c>
      <c r="W66">
        <f t="shared" si="1"/>
        <v>-3.9616379188803732</v>
      </c>
      <c r="X66">
        <f t="shared" si="2"/>
        <v>-226.98513271083618</v>
      </c>
      <c r="Y66">
        <f t="shared" si="6"/>
        <v>195.01412217983497</v>
      </c>
    </row>
    <row r="67" spans="19:25" x14ac:dyDescent="0.35">
      <c r="S67" s="12">
        <f t="shared" si="3"/>
        <v>1659.9546299532933</v>
      </c>
      <c r="T67">
        <f t="shared" si="4"/>
        <v>0.2172875529480679</v>
      </c>
      <c r="U67" s="18">
        <f t="shared" si="5"/>
        <v>4.7028410228194505E-2</v>
      </c>
      <c r="V67" s="19">
        <f t="shared" si="0"/>
        <v>6.7501559897209518E-13</v>
      </c>
      <c r="W67">
        <f t="shared" si="1"/>
        <v>-4.1187960005093522</v>
      </c>
      <c r="X67">
        <f t="shared" si="2"/>
        <v>-235.98962750454916</v>
      </c>
      <c r="Y67">
        <f t="shared" si="6"/>
        <v>172.41714989292166</v>
      </c>
    </row>
    <row r="68" spans="19:25" x14ac:dyDescent="0.35">
      <c r="S68" s="12">
        <f t="shared" si="3"/>
        <v>1810.1933598375626</v>
      </c>
      <c r="T68">
        <f t="shared" si="4"/>
        <v>0.23695375670177965</v>
      </c>
      <c r="U68" s="18">
        <f t="shared" si="5"/>
        <v>5.588486608946331E-2</v>
      </c>
      <c r="V68" s="19">
        <f t="shared" si="0"/>
        <v>6.6435745793569367E-13</v>
      </c>
      <c r="W68">
        <f t="shared" si="1"/>
        <v>-4.2698572696274599</v>
      </c>
      <c r="X68">
        <f t="shared" si="2"/>
        <v>-244.64480067290665</v>
      </c>
      <c r="Y68">
        <f t="shared" si="6"/>
        <v>151.56435648947564</v>
      </c>
    </row>
    <row r="69" spans="19:25" x14ac:dyDescent="0.35">
      <c r="S69" s="12">
        <f t="shared" si="3"/>
        <v>1974.0298565221653</v>
      </c>
      <c r="T69">
        <f t="shared" si="4"/>
        <v>0.25839990396737283</v>
      </c>
      <c r="U69" s="18">
        <f t="shared" si="5"/>
        <v>6.6399811194541802E-2</v>
      </c>
      <c r="V69" s="19">
        <f t="shared" si="0"/>
        <v>6.3593574850528967E-13</v>
      </c>
      <c r="W69">
        <f t="shared" si="1"/>
        <v>-4.4142604739147151</v>
      </c>
      <c r="X69">
        <f t="shared" si="2"/>
        <v>-252.9184948267318</v>
      </c>
      <c r="Y69">
        <f t="shared" si="6"/>
        <v>132.53594026571994</v>
      </c>
    </row>
    <row r="70" spans="19:25" x14ac:dyDescent="0.35">
      <c r="S70" s="12">
        <f t="shared" si="3"/>
        <v>2152.6948230495104</v>
      </c>
      <c r="T70">
        <f t="shared" si="4"/>
        <v>0.28178709339638008</v>
      </c>
      <c r="U70" s="18">
        <f t="shared" si="5"/>
        <v>7.8879938886533649E-2</v>
      </c>
      <c r="V70" s="19">
        <f t="shared" si="0"/>
        <v>5.9685589803848416E-13</v>
      </c>
      <c r="W70">
        <f t="shared" si="1"/>
        <v>-4.5516116015051313</v>
      </c>
      <c r="X70">
        <f t="shared" si="2"/>
        <v>-260.78813474902552</v>
      </c>
      <c r="Y70">
        <f t="shared" si="6"/>
        <v>115.34953134501643</v>
      </c>
    </row>
    <row r="71" spans="19:25" x14ac:dyDescent="0.35">
      <c r="S71" s="12">
        <f t="shared" si="3"/>
        <v>2347.5303506039595</v>
      </c>
      <c r="T71">
        <f t="shared" si="4"/>
        <v>0.30729100431401962</v>
      </c>
      <c r="U71" s="18">
        <f t="shared" si="5"/>
        <v>9.3687046035683216E-2</v>
      </c>
      <c r="V71" s="19">
        <f t="shared" si="0"/>
        <v>5.4711790653527714E-13</v>
      </c>
      <c r="W71">
        <f t="shared" si="1"/>
        <v>-4.6816728618769243</v>
      </c>
      <c r="X71">
        <f t="shared" si="2"/>
        <v>-268.24009604648137</v>
      </c>
      <c r="Y71">
        <f t="shared" si="6"/>
        <v>99.970229719887215</v>
      </c>
    </row>
    <row r="72" spans="19:25" x14ac:dyDescent="0.35">
      <c r="S72" s="12">
        <f t="shared" si="3"/>
        <v>2560.0000000000014</v>
      </c>
      <c r="T72">
        <f t="shared" si="4"/>
        <v>0.33510321638291146</v>
      </c>
      <c r="U72" s="18">
        <f t="shared" si="5"/>
        <v>0.11124725952503801</v>
      </c>
      <c r="V72" s="19">
        <f t="shared" ref="V72:V96" si="7">10*LOG10(($B$15+$B$16+$B$17)^2 + ( $B$15*$B$17*U72 - ($B$16*($B$15+$B$17) + 4*$B$15*$B$17) )*U72 )  - 10*LOG10( (1+$Z$2+$Z$3)^2 + ( 1*$Z$3*U72 - ($Z$2*(1+$Z$3) + 4*1*$Z$3) )*U72)</f>
        <v>4.9737991503207013E-13</v>
      </c>
      <c r="W72">
        <f t="shared" si="1"/>
        <v>-4.8043464490586203</v>
      </c>
      <c r="X72">
        <f t="shared" si="2"/>
        <v>-275.26877484972272</v>
      </c>
      <c r="Y72">
        <f t="shared" si="6"/>
        <v>86.32204292168251</v>
      </c>
    </row>
    <row r="73" spans="19:25" x14ac:dyDescent="0.35">
      <c r="S73" s="12">
        <f t="shared" si="3"/>
        <v>2791.6997956230612</v>
      </c>
      <c r="T73">
        <f t="shared" si="4"/>
        <v>0.36543264870656395</v>
      </c>
      <c r="U73" s="18">
        <f t="shared" si="5"/>
        <v>0.1320615198160098</v>
      </c>
      <c r="V73" s="19">
        <f t="shared" si="7"/>
        <v>4.4764192352886312E-13</v>
      </c>
      <c r="W73">
        <f t="shared" ref="W73:W97" si="8">ATAN2( ( $Z$1+$Z$2*$AB$2+$Z$3*$AB$3+ ($Z$1*$AB$2+$Z$2*(1+$AB$3)+$Z$3*$AB$2)*COS(T73)+ ($Z$1*$AB$3+$Z$3)*COS(2*T73) ) / ( 1+$AB$2*$AB$2+$AB$3*$AB$3+ 2* ( ($AB$2+$AB$2*$AB$3)*COS(T73)+ $AB$3*COS(2*T73) ) ),( ($Z$2-$Z$1*$AB$2+$Z$3*$AB$2-$Z$2*$AB$3+ 2*(-$Z$1*$AB$3+$Z$3)*COS(T73) )*SIN(T73) / ( 1+$AB$2*$AB$2+$AB$3*$AB$3+ 2*($AB$2 + $AB$2*$AB$3)*COS(T73)+ 2*$AB$3*COS(2*T73) ) ))*2</f>
        <v>-4.9196552929644755</v>
      </c>
      <c r="X73">
        <f t="shared" ref="X73:X96" si="9">DEGREES(W73)</f>
        <v>-281.87548494606102</v>
      </c>
      <c r="Y73">
        <f t="shared" si="6"/>
        <v>74.299359872908255</v>
      </c>
    </row>
    <row r="74" spans="19:25" x14ac:dyDescent="0.35">
      <c r="S74" s="12">
        <f t="shared" ref="S74:S95" si="10">S73*2^(1/8)</f>
        <v>3044.3702144069675</v>
      </c>
      <c r="T74">
        <f t="shared" ref="T74:T96" si="11">2*PI()*S74/$B$6</f>
        <v>0.39850712918285469</v>
      </c>
      <c r="U74" s="18">
        <f t="shared" ref="U74:U95" si="12">4*SIN(T74/2)^2</f>
        <v>0.15671736260275285</v>
      </c>
      <c r="V74" s="19">
        <f t="shared" si="7"/>
        <v>3.943512183468556E-13</v>
      </c>
      <c r="W74">
        <f t="shared" si="8"/>
        <v>-5.0277227055051501</v>
      </c>
      <c r="X74">
        <f t="shared" si="9"/>
        <v>-288.06729158754081</v>
      </c>
      <c r="Y74">
        <f t="shared" ref="Y74:Y95" si="13">(-((W75-W73)/(S75-S73))/360)*58000000</f>
        <v>63.777479540460128</v>
      </c>
    </row>
    <row r="75" spans="19:25" x14ac:dyDescent="0.35">
      <c r="S75" s="12">
        <f t="shared" si="10"/>
        <v>3319.9092599065866</v>
      </c>
      <c r="T75">
        <f t="shared" si="11"/>
        <v>0.43457510589613579</v>
      </c>
      <c r="U75" s="18">
        <f t="shared" si="12"/>
        <v>0.18590196954418667</v>
      </c>
      <c r="V75" s="19">
        <f t="shared" si="7"/>
        <v>3.4638958368304884E-13</v>
      </c>
      <c r="W75">
        <f t="shared" si="8"/>
        <v>-5.1287524065594958</v>
      </c>
      <c r="X75">
        <f t="shared" si="9"/>
        <v>-293.8558670634232</v>
      </c>
      <c r="Y75">
        <f t="shared" si="13"/>
        <v>54.621608241302937</v>
      </c>
    </row>
    <row r="76" spans="19:25" x14ac:dyDescent="0.35">
      <c r="S76" s="12">
        <f t="shared" si="10"/>
        <v>3620.3867196751253</v>
      </c>
      <c r="T76">
        <f t="shared" si="11"/>
        <v>0.4739075134035593</v>
      </c>
      <c r="U76" s="18">
        <f t="shared" si="12"/>
        <v>0.22041634610001598</v>
      </c>
      <c r="V76" s="19">
        <f t="shared" si="7"/>
        <v>3.0198066269804258E-13</v>
      </c>
      <c r="W76">
        <f t="shared" si="8"/>
        <v>-5.2230099682786228</v>
      </c>
      <c r="X76">
        <f t="shared" si="9"/>
        <v>-299.25642753712305</v>
      </c>
      <c r="Y76">
        <f t="shared" si="13"/>
        <v>46.694078751406551</v>
      </c>
    </row>
    <row r="77" spans="19:25" x14ac:dyDescent="0.35">
      <c r="S77" s="12">
        <f t="shared" si="10"/>
        <v>3948.0597130443307</v>
      </c>
      <c r="T77">
        <f t="shared" si="11"/>
        <v>0.51679980793474567</v>
      </c>
      <c r="U77" s="18">
        <f t="shared" si="12"/>
        <v>0.26119030985149644</v>
      </c>
      <c r="V77" s="19">
        <f t="shared" si="7"/>
        <v>2.6112445539183682E-13</v>
      </c>
      <c r="W77">
        <f t="shared" si="8"/>
        <v>-5.3108063103794336</v>
      </c>
      <c r="X77">
        <f t="shared" si="9"/>
        <v>-304.2867873961863</v>
      </c>
      <c r="Y77">
        <f t="shared" si="13"/>
        <v>39.859795947877828</v>
      </c>
    </row>
    <row r="78" spans="19:25" x14ac:dyDescent="0.35">
      <c r="S78" s="12">
        <f t="shared" si="10"/>
        <v>4305.3896460990209</v>
      </c>
      <c r="T78">
        <f t="shared" si="11"/>
        <v>0.56357418679276017</v>
      </c>
      <c r="U78" s="18">
        <f t="shared" si="12"/>
        <v>0.30929771078739127</v>
      </c>
      <c r="V78" s="19">
        <f t="shared" si="7"/>
        <v>2.2382096176443156E-13</v>
      </c>
      <c r="W78">
        <f t="shared" si="8"/>
        <v>-5.3924835488569682</v>
      </c>
      <c r="X78">
        <f t="shared" si="9"/>
        <v>-308.96654844323251</v>
      </c>
      <c r="Y78">
        <f t="shared" si="13"/>
        <v>33.990074284358876</v>
      </c>
    </row>
    <row r="79" spans="19:25" x14ac:dyDescent="0.35">
      <c r="S79" s="12">
        <f t="shared" si="10"/>
        <v>4695.060701207919</v>
      </c>
      <c r="T79">
        <f t="shared" si="11"/>
        <v>0.61458200862803924</v>
      </c>
      <c r="U79" s="18">
        <f t="shared" si="12"/>
        <v>0.36597092154784067</v>
      </c>
      <c r="V79" s="19">
        <f t="shared" si="7"/>
        <v>1.900701818158268E-13</v>
      </c>
      <c r="W79">
        <f t="shared" si="8"/>
        <v>-5.4684032563818672</v>
      </c>
      <c r="X79">
        <f t="shared" si="9"/>
        <v>-313.31642726627683</v>
      </c>
      <c r="Y79">
        <f t="shared" si="13"/>
        <v>28.965115471149133</v>
      </c>
    </row>
    <row r="80" spans="19:25" x14ac:dyDescent="0.35">
      <c r="S80" s="12">
        <f t="shared" si="10"/>
        <v>5120.0000000000027</v>
      </c>
      <c r="T80">
        <f t="shared" si="11"/>
        <v>0.67020643276582292</v>
      </c>
      <c r="U80" s="18">
        <f t="shared" si="12"/>
        <v>0.43261308534832082</v>
      </c>
      <c r="V80" s="19">
        <f t="shared" si="7"/>
        <v>1.5987211554602254E-13</v>
      </c>
      <c r="W80">
        <f t="shared" si="8"/>
        <v>-5.5389370293277409</v>
      </c>
      <c r="X80">
        <f t="shared" si="9"/>
        <v>-317.35771476920945</v>
      </c>
      <c r="Y80">
        <f t="shared" si="13"/>
        <v>24.675400518367258</v>
      </c>
    </row>
    <row r="81" spans="19:25" x14ac:dyDescent="0.35">
      <c r="S81" s="12">
        <f t="shared" si="10"/>
        <v>5583.3995912461223</v>
      </c>
      <c r="T81">
        <f t="shared" si="11"/>
        <v>0.73086529741312789</v>
      </c>
      <c r="U81" s="18">
        <f t="shared" si="12"/>
        <v>0.51080583424792492</v>
      </c>
      <c r="V81" s="19">
        <f t="shared" si="7"/>
        <v>1.3500311979441904E-13</v>
      </c>
      <c r="W81">
        <f t="shared" si="8"/>
        <v>-5.6044591606367709</v>
      </c>
      <c r="X81">
        <f t="shared" si="9"/>
        <v>-321.11185635791884</v>
      </c>
      <c r="Y81">
        <f t="shared" si="13"/>
        <v>21.02225897813776</v>
      </c>
    </row>
    <row r="82" spans="19:25" x14ac:dyDescent="0.35">
      <c r="S82" s="12">
        <f t="shared" si="10"/>
        <v>6088.7404288139351</v>
      </c>
      <c r="T82">
        <f t="shared" si="11"/>
        <v>0.79701425836570938</v>
      </c>
      <c r="U82" s="18">
        <f t="shared" si="12"/>
        <v>0.60230911866984871</v>
      </c>
      <c r="V82" s="19">
        <f t="shared" si="7"/>
        <v>1.1368683772161603E-13</v>
      </c>
      <c r="W82">
        <f t="shared" si="8"/>
        <v>-5.6653411738753743</v>
      </c>
      <c r="X82">
        <f t="shared" si="9"/>
        <v>-324.60013876475045</v>
      </c>
      <c r="Y82">
        <f t="shared" si="13"/>
        <v>17.9178464575613</v>
      </c>
    </row>
    <row r="83" spans="19:25" x14ac:dyDescent="0.35">
      <c r="S83" s="12">
        <f t="shared" si="10"/>
        <v>6639.8185198131732</v>
      </c>
      <c r="T83">
        <f t="shared" si="11"/>
        <v>0.86915021179227159</v>
      </c>
      <c r="U83" s="18">
        <f t="shared" si="12"/>
        <v>0.70904833589633898</v>
      </c>
      <c r="V83" s="19">
        <f t="shared" si="7"/>
        <v>9.4146912488213275E-14</v>
      </c>
      <c r="W83">
        <f t="shared" si="8"/>
        <v>-5.7219479671280347</v>
      </c>
      <c r="X83">
        <f t="shared" si="9"/>
        <v>-327.84346910989751</v>
      </c>
      <c r="Y83">
        <f t="shared" si="13"/>
        <v>15.284721342150323</v>
      </c>
    </row>
    <row r="84" spans="19:25" x14ac:dyDescent="0.35">
      <c r="S84" s="12">
        <f t="shared" si="10"/>
        <v>7240.7734393502506</v>
      </c>
      <c r="T84">
        <f t="shared" si="11"/>
        <v>0.9478150268071186</v>
      </c>
      <c r="U84" s="18">
        <f t="shared" si="12"/>
        <v>0.83308201877198185</v>
      </c>
      <c r="V84" s="19">
        <f t="shared" si="7"/>
        <v>7.9491968563161208E-14</v>
      </c>
      <c r="W84">
        <f t="shared" si="8"/>
        <v>-5.7746353337974812</v>
      </c>
      <c r="X84">
        <f t="shared" si="9"/>
        <v>-330.862232853715</v>
      </c>
      <c r="Y84">
        <f t="shared" si="13"/>
        <v>13.05517094778533</v>
      </c>
    </row>
    <row r="85" spans="19:25" x14ac:dyDescent="0.35">
      <c r="S85" s="12">
        <f t="shared" si="10"/>
        <v>7896.1194260886614</v>
      </c>
      <c r="T85">
        <f t="shared" si="11"/>
        <v>1.0335996158694913</v>
      </c>
      <c r="U85" s="18">
        <f t="shared" si="12"/>
        <v>0.9765408614456651</v>
      </c>
      <c r="V85" s="19">
        <f t="shared" si="7"/>
        <v>6.4614980033184111E-14</v>
      </c>
      <c r="W85">
        <f t="shared" si="8"/>
        <v>-5.8237486621897983</v>
      </c>
      <c r="X85">
        <f t="shared" si="9"/>
        <v>-333.67621928843482</v>
      </c>
      <c r="Y85">
        <f t="shared" si="13"/>
        <v>11.170400388630553</v>
      </c>
    </row>
    <row r="86" spans="19:25" x14ac:dyDescent="0.35">
      <c r="S86" s="12">
        <f t="shared" si="10"/>
        <v>8610.7792921980417</v>
      </c>
      <c r="T86">
        <f t="shared" si="11"/>
        <v>1.1271483735855203</v>
      </c>
      <c r="U86" s="18">
        <f t="shared" si="12"/>
        <v>1.1415257692512444</v>
      </c>
      <c r="V86" s="19">
        <f t="shared" si="7"/>
        <v>5.3235194030776256E-14</v>
      </c>
      <c r="W86">
        <f t="shared" si="8"/>
        <v>-5.869622661521408</v>
      </c>
      <c r="X86">
        <f t="shared" si="9"/>
        <v>-336.30460583952203</v>
      </c>
      <c r="Y86">
        <f t="shared" si="13"/>
        <v>9.5796663012592855</v>
      </c>
    </row>
    <row r="87" spans="19:25" x14ac:dyDescent="0.35">
      <c r="S87" s="12">
        <f t="shared" si="10"/>
        <v>9390.121402415838</v>
      </c>
      <c r="T87">
        <f t="shared" si="11"/>
        <v>1.2291640172560785</v>
      </c>
      <c r="U87" s="18">
        <f t="shared" si="12"/>
        <v>1.3299489707727872</v>
      </c>
      <c r="V87" s="19">
        <f t="shared" si="7"/>
        <v>4.2188474935755949E-14</v>
      </c>
      <c r="W87">
        <f t="shared" si="8"/>
        <v>-5.9125820163137472</v>
      </c>
      <c r="X87">
        <f t="shared" si="9"/>
        <v>-338.7659955597282</v>
      </c>
      <c r="Y87">
        <f t="shared" si="13"/>
        <v>8.2394126809546702</v>
      </c>
    </row>
    <row r="88" spans="19:25" x14ac:dyDescent="0.35">
      <c r="S88" s="12">
        <f t="shared" si="10"/>
        <v>10240.000000000005</v>
      </c>
      <c r="T88">
        <f t="shared" si="11"/>
        <v>1.3404128655316458</v>
      </c>
      <c r="U88" s="18">
        <f t="shared" si="12"/>
        <v>1.54329825977869</v>
      </c>
      <c r="V88" s="19">
        <f t="shared" si="7"/>
        <v>3.4194869158454821E-14</v>
      </c>
      <c r="W88">
        <f t="shared" si="8"/>
        <v>-5.9529429345141232</v>
      </c>
      <c r="X88">
        <f t="shared" si="9"/>
        <v>-341.07850582988249</v>
      </c>
      <c r="Y88">
        <f t="shared" si="13"/>
        <v>7.1124470808531131</v>
      </c>
    </row>
    <row r="89" spans="19:25" x14ac:dyDescent="0.35">
      <c r="S89" s="12">
        <f t="shared" si="10"/>
        <v>11166.799182492245</v>
      </c>
      <c r="T89">
        <f t="shared" si="11"/>
        <v>1.4617305948262558</v>
      </c>
      <c r="U89" s="18">
        <f t="shared" si="12"/>
        <v>1.7823007366899815</v>
      </c>
      <c r="V89" s="19">
        <f t="shared" si="7"/>
        <v>2.708944180085382E-14</v>
      </c>
      <c r="W89">
        <f t="shared" si="8"/>
        <v>-5.9910156302549122</v>
      </c>
      <c r="X89">
        <f t="shared" si="9"/>
        <v>-343.25991061051536</v>
      </c>
      <c r="Y89">
        <f t="shared" si="13"/>
        <v>6.1671814509677363</v>
      </c>
    </row>
    <row r="90" spans="19:25" x14ac:dyDescent="0.35">
      <c r="S90" s="12">
        <f t="shared" si="10"/>
        <v>12177.48085762787</v>
      </c>
      <c r="T90">
        <f t="shared" si="11"/>
        <v>1.5940285167314188</v>
      </c>
      <c r="U90" s="18">
        <f t="shared" si="12"/>
        <v>2.0464602002465448</v>
      </c>
      <c r="V90" s="19">
        <f t="shared" si="7"/>
        <v>2.042810365310288E-14</v>
      </c>
      <c r="W90">
        <f t="shared" si="8"/>
        <v>-6.0271078752457843</v>
      </c>
      <c r="X90">
        <f t="shared" si="9"/>
        <v>-345.32784392164456</v>
      </c>
      <c r="Y90">
        <f t="shared" si="13"/>
        <v>5.3769517330643417</v>
      </c>
    </row>
    <row r="91" spans="19:25" x14ac:dyDescent="0.35">
      <c r="S91" s="12">
        <f t="shared" si="10"/>
        <v>13279.637039626346</v>
      </c>
      <c r="T91">
        <f t="shared" si="11"/>
        <v>1.7383004235845432</v>
      </c>
      <c r="U91" s="18">
        <f t="shared" si="12"/>
        <v>2.3334438009479883</v>
      </c>
      <c r="V91" s="19">
        <f t="shared" si="7"/>
        <v>1.5987211554602254E-14</v>
      </c>
      <c r="W91">
        <f t="shared" si="8"/>
        <v>-6.0615298679089884</v>
      </c>
      <c r="X91">
        <f t="shared" si="9"/>
        <v>-347.30007882367642</v>
      </c>
      <c r="Y91">
        <f t="shared" si="13"/>
        <v>4.7194218355468021</v>
      </c>
    </row>
    <row r="92" spans="19:25" x14ac:dyDescent="0.35">
      <c r="S92" s="12">
        <f t="shared" si="10"/>
        <v>14481.546878700501</v>
      </c>
      <c r="T92">
        <f t="shared" si="11"/>
        <v>1.8956300536142372</v>
      </c>
      <c r="U92" s="18">
        <f t="shared" si="12"/>
        <v>2.6383024250867271</v>
      </c>
      <c r="V92" s="19">
        <f t="shared" si="7"/>
        <v>1.4210854715202004E-14</v>
      </c>
      <c r="W92">
        <f t="shared" si="8"/>
        <v>-6.0946007962206288</v>
      </c>
      <c r="X92">
        <f t="shared" si="9"/>
        <v>-349.19490344051309</v>
      </c>
      <c r="Y92">
        <f t="shared" si="13"/>
        <v>4.1760649009555806</v>
      </c>
    </row>
    <row r="93" spans="19:25" x14ac:dyDescent="0.35">
      <c r="S93" s="12">
        <f t="shared" si="10"/>
        <v>15792.238852177323</v>
      </c>
      <c r="T93">
        <f t="shared" si="11"/>
        <v>2.0671992317389827</v>
      </c>
      <c r="U93" s="18">
        <f t="shared" si="12"/>
        <v>2.952531391709619</v>
      </c>
      <c r="V93" s="19">
        <f t="shared" si="7"/>
        <v>0</v>
      </c>
      <c r="W93">
        <f t="shared" si="8"/>
        <v>-6.1266575190505357</v>
      </c>
      <c r="X93">
        <f t="shared" si="9"/>
        <v>-351.03161836368747</v>
      </c>
      <c r="Y93">
        <f t="shared" si="13"/>
        <v>3.7316746165764063</v>
      </c>
    </row>
    <row r="94" spans="19:25" x14ac:dyDescent="0.35">
      <c r="S94" s="12">
        <f t="shared" si="10"/>
        <v>17221.558584396083</v>
      </c>
      <c r="T94">
        <f t="shared" si="11"/>
        <v>2.2542967471710407</v>
      </c>
      <c r="U94" s="18">
        <f t="shared" si="12"/>
        <v>3.2630219951403325</v>
      </c>
      <c r="V94" s="19">
        <f t="shared" si="7"/>
        <v>0</v>
      </c>
      <c r="W94">
        <f t="shared" si="8"/>
        <v>-6.1580652715181445</v>
      </c>
      <c r="X94">
        <f t="shared" si="9"/>
        <v>-352.83115002407305</v>
      </c>
      <c r="Y94">
        <f t="shared" si="13"/>
        <v>3.3736713943306755</v>
      </c>
    </row>
    <row r="95" spans="19:25" x14ac:dyDescent="0.35">
      <c r="S95" s="12">
        <f t="shared" si="10"/>
        <v>18780.242804831676</v>
      </c>
      <c r="T95">
        <f t="shared" si="11"/>
        <v>2.458328034512157</v>
      </c>
      <c r="U95" s="18">
        <f t="shared" si="12"/>
        <v>3.5510316182315527</v>
      </c>
      <c r="V95" s="19">
        <f t="shared" si="7"/>
        <v>0</v>
      </c>
      <c r="W95">
        <f t="shared" si="8"/>
        <v>-6.1892264094994687</v>
      </c>
      <c r="X95">
        <f t="shared" si="9"/>
        <v>-354.61655171522773</v>
      </c>
      <c r="Y95">
        <f t="shared" si="13"/>
        <v>3.0897481804503384</v>
      </c>
    </row>
    <row r="96" spans="19:25" x14ac:dyDescent="0.35">
      <c r="S96" s="12">
        <f>S95*2^(1/8)</f>
        <v>20480.000000000011</v>
      </c>
      <c r="T96">
        <f t="shared" si="11"/>
        <v>2.6808257310632917</v>
      </c>
      <c r="U96" s="18">
        <f>4*SIN(T96/2)^2</f>
        <v>3.7914235204788267</v>
      </c>
      <c r="V96" s="19">
        <f t="shared" si="7"/>
        <v>0</v>
      </c>
      <c r="W96">
        <f t="shared" si="8"/>
        <v>-6.220554837666211</v>
      </c>
      <c r="X96">
        <f t="shared" si="9"/>
        <v>-356.41153842796081</v>
      </c>
    </row>
    <row r="97" spans="19:23" x14ac:dyDescent="0.35">
      <c r="S97" s="12"/>
      <c r="U97" s="18"/>
      <c r="V97" s="19"/>
      <c r="W97">
        <f t="shared" si="8"/>
        <v>0</v>
      </c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7" max="27" width="17.54296875" bestFit="1" customWidth="1"/>
    <col min="28" max="29" width="12.7265625" bestFit="1" customWidth="1"/>
    <col min="30" max="30" width="12.7265625" customWidth="1"/>
    <col min="31" max="31" width="10.54296875" bestFit="1" customWidth="1"/>
    <col min="32" max="33" width="17.54296875" bestFit="1" customWidth="1"/>
    <col min="36" max="37" width="17.54296875" bestFit="1" customWidth="1"/>
  </cols>
  <sheetData>
    <row r="1" spans="1:37" x14ac:dyDescent="0.35">
      <c r="Z1" t="s">
        <v>19</v>
      </c>
      <c r="AA1" s="22">
        <v>1</v>
      </c>
      <c r="AC1" s="31"/>
      <c r="AE1" t="s">
        <v>42</v>
      </c>
      <c r="AF1" s="22">
        <f>AA2^2-4*AA1*AA3</f>
        <v>-2.6188300245224561E-3</v>
      </c>
      <c r="AG1" s="22">
        <f>B16^2-4*B15*B17</f>
        <v>-2.4125594214687851E-3</v>
      </c>
      <c r="AI1" t="s">
        <v>48</v>
      </c>
      <c r="AJ1" s="22">
        <f>IF(AF1&lt;0,AF5,AF2)</f>
        <v>0.99477547874925998</v>
      </c>
      <c r="AK1" s="22">
        <f>IF(AF1&lt;0,AF5,AF2)</f>
        <v>0.99477547874925998</v>
      </c>
    </row>
    <row r="2" spans="1:37" x14ac:dyDescent="0.35">
      <c r="A2" s="1" t="s">
        <v>56</v>
      </c>
      <c r="B2" s="6"/>
      <c r="Z2" t="s">
        <v>20</v>
      </c>
      <c r="AA2" s="22">
        <f>ROUND(-B12,14)</f>
        <v>-1.98955095749852</v>
      </c>
      <c r="AC2" s="31"/>
      <c r="AE2" t="s">
        <v>43</v>
      </c>
      <c r="AF2" s="22" t="e">
        <f>(-AA2-SQRT(AF1))/2*AA1</f>
        <v>#NUM!</v>
      </c>
      <c r="AG2" s="22" t="e">
        <f>(-B16-SQRT(AG1))/2*B15</f>
        <v>#NUM!</v>
      </c>
      <c r="AJ2" s="22">
        <f>IF(AF1&lt;0,AF6,0)</f>
        <v>2.5587252805461824E-2</v>
      </c>
      <c r="AK2" s="22">
        <f>IF(AF1&lt;0,-AF6,0)</f>
        <v>-2.5587252805461824E-2</v>
      </c>
    </row>
    <row r="3" spans="1:37" x14ac:dyDescent="0.35">
      <c r="A3" t="s">
        <v>50</v>
      </c>
      <c r="B3" s="26">
        <v>200</v>
      </c>
      <c r="C3" t="s">
        <v>4</v>
      </c>
      <c r="Z3" t="s">
        <v>21</v>
      </c>
      <c r="AA3" s="22">
        <f>ROUND(-B13,14)</f>
        <v>0.99023296062694999</v>
      </c>
      <c r="AC3" s="31"/>
      <c r="AE3" t="s">
        <v>44</v>
      </c>
      <c r="AF3" s="22" t="e">
        <f>(-AA2-SQRT(AF1))/2*AA1</f>
        <v>#NUM!</v>
      </c>
      <c r="AG3" s="22" t="e">
        <f>(-B16-SQRT(AG1))/2*B15</f>
        <v>#NUM!</v>
      </c>
    </row>
    <row r="4" spans="1:37" x14ac:dyDescent="0.35">
      <c r="A4" t="s">
        <v>51</v>
      </c>
      <c r="B4" s="26">
        <v>2</v>
      </c>
      <c r="AF4" s="22"/>
      <c r="AG4" s="22"/>
      <c r="AI4" t="s">
        <v>49</v>
      </c>
      <c r="AJ4" s="22">
        <f>IF(AG1&lt;0,AG5,AG2)</f>
        <v>0.99100890875422332</v>
      </c>
      <c r="AK4" s="22">
        <f>IF(AG1&lt;0,AG5,AG2)</f>
        <v>0.99100890875422332</v>
      </c>
    </row>
    <row r="5" spans="1:37" x14ac:dyDescent="0.35">
      <c r="A5" t="s">
        <v>65</v>
      </c>
      <c r="B5" s="26">
        <v>5</v>
      </c>
      <c r="C5" t="s">
        <v>14</v>
      </c>
      <c r="AE5" t="s">
        <v>45</v>
      </c>
      <c r="AF5" s="22">
        <f>-AA2/(2*AA1)</f>
        <v>0.99477547874925998</v>
      </c>
      <c r="AG5" s="22">
        <f>-B16/(2*B15)</f>
        <v>0.99100890875422332</v>
      </c>
      <c r="AH5" s="1"/>
      <c r="AJ5" s="22">
        <f>IF(AG1&lt;0,AG6,0)</f>
        <v>2.4465917166915974E-2</v>
      </c>
      <c r="AK5" s="22">
        <f>IF(AG1&lt;0,-AG6,0)</f>
        <v>-2.4465917166915974E-2</v>
      </c>
    </row>
    <row r="6" spans="1:37" x14ac:dyDescent="0.35"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E6" t="s">
        <v>46</v>
      </c>
      <c r="AF6" s="22">
        <f>SQRT(-AF1)/(2*AA1)</f>
        <v>2.5587252805461824E-2</v>
      </c>
      <c r="AG6" s="22">
        <f>SQRT(-AG1)/(2*B15)</f>
        <v>2.4465917166915974E-2</v>
      </c>
    </row>
    <row r="7" spans="1:37" x14ac:dyDescent="0.35">
      <c r="A7" t="s">
        <v>16</v>
      </c>
      <c r="B7" s="6">
        <v>48000</v>
      </c>
      <c r="C7" t="s">
        <v>4</v>
      </c>
      <c r="S7" s="7" t="s">
        <v>4</v>
      </c>
      <c r="V7" s="17" t="s">
        <v>14</v>
      </c>
      <c r="W7" s="16"/>
      <c r="X7" s="16"/>
      <c r="Y7" s="16"/>
      <c r="AE7" t="s">
        <v>47</v>
      </c>
      <c r="AF7" s="22">
        <f>SQRT(AF5^2+AF6^2)</f>
        <v>0.99510449734032957</v>
      </c>
    </row>
    <row r="8" spans="1:37" x14ac:dyDescent="0.35">
      <c r="B8" s="6"/>
      <c r="S8" s="9">
        <v>10</v>
      </c>
      <c r="T8">
        <f t="shared" ref="T8:T39" si="0">2*PI()*S8/$B$7</f>
        <v>1.308996938995747E-3</v>
      </c>
      <c r="U8" s="18">
        <f t="shared" ref="U8:U39" si="1">4*SIN(T8/2)^2</f>
        <v>1.7134727416344432E-6</v>
      </c>
      <c r="V8" s="19">
        <f t="shared" ref="V8:V39" si="2">10*LOG10(($B$15+$B$16+$B$17)^2 + ( $B$15*$B$17*U8 - ($B$16*($B$15+$B$17) + 4*$B$15*$B$17) )*U8 )  - 10*LOG10( (1+$AA$2+$AA$3)^2 + ( 1*$AA$3*U8 - ($AA$2*(1+$AA$3) + 4*1*$AA$3) )*U8)</f>
        <v>3.3142186963956988E-3</v>
      </c>
      <c r="Y8" s="27"/>
      <c r="AD8" s="27"/>
      <c r="AF8" s="22"/>
    </row>
    <row r="9" spans="1:37" x14ac:dyDescent="0.35">
      <c r="A9" s="33" t="s">
        <v>54</v>
      </c>
      <c r="B9" s="33"/>
      <c r="C9" s="33"/>
      <c r="D9" s="1"/>
      <c r="S9" s="12">
        <f t="shared" ref="S9:S40" si="3">S8*2^(1/8)</f>
        <v>10.905077326652577</v>
      </c>
      <c r="T9">
        <f t="shared" si="0"/>
        <v>1.427471284010015E-3</v>
      </c>
      <c r="U9" s="18">
        <f t="shared" si="1"/>
        <v>2.0376739206635231E-6</v>
      </c>
      <c r="V9" s="19">
        <f t="shared" si="2"/>
        <v>3.9444814924323168E-3</v>
      </c>
      <c r="AD9" s="27"/>
      <c r="AF9" s="22">
        <f>IF(AF1&lt;0,AF7,AF2)</f>
        <v>0.99510449734032957</v>
      </c>
    </row>
    <row r="10" spans="1:37" x14ac:dyDescent="0.35">
      <c r="A10" s="33" t="s">
        <v>55</v>
      </c>
      <c r="B10" s="33"/>
      <c r="C10" s="33"/>
      <c r="S10" s="12">
        <f t="shared" si="3"/>
        <v>11.892071150027212</v>
      </c>
      <c r="T10">
        <f t="shared" si="0"/>
        <v>1.5566684733705255E-3</v>
      </c>
      <c r="U10" s="18">
        <f t="shared" si="1"/>
        <v>2.4232162466541498E-6</v>
      </c>
      <c r="V10" s="19">
        <f t="shared" si="2"/>
        <v>4.6953207031705801E-3</v>
      </c>
      <c r="AD10" s="27"/>
    </row>
    <row r="11" spans="1:37" x14ac:dyDescent="0.35">
      <c r="A11" t="s">
        <v>19</v>
      </c>
      <c r="B11" s="23">
        <v>1</v>
      </c>
      <c r="S11" s="12">
        <f t="shared" si="3"/>
        <v>12.968395546510099</v>
      </c>
      <c r="T11">
        <f t="shared" si="0"/>
        <v>1.6975590074067798E-3</v>
      </c>
      <c r="U11" s="18">
        <f t="shared" si="1"/>
        <v>2.8817058916085552E-6</v>
      </c>
      <c r="V11" s="19">
        <f t="shared" si="2"/>
        <v>5.5901031816887325E-3</v>
      </c>
      <c r="AD11" s="27"/>
    </row>
    <row r="12" spans="1:37" x14ac:dyDescent="0.35">
      <c r="A12" t="s">
        <v>20</v>
      </c>
      <c r="B12" s="20">
        <f>-(-2*COS(B22))/B24</f>
        <v>1.9895509574985246</v>
      </c>
      <c r="S12" s="12">
        <f t="shared" si="3"/>
        <v>14.142135623730953</v>
      </c>
      <c r="T12">
        <f t="shared" si="0"/>
        <v>1.8512012242326529E-3</v>
      </c>
      <c r="U12" s="18">
        <f t="shared" si="1"/>
        <v>3.4269449939373591E-6</v>
      </c>
      <c r="V12" s="19">
        <f t="shared" si="2"/>
        <v>6.6568484596274402E-3</v>
      </c>
      <c r="AD12" s="27"/>
    </row>
    <row r="13" spans="1:37" ht="15" customHeight="1" x14ac:dyDescent="0.35">
      <c r="A13" t="s">
        <v>21</v>
      </c>
      <c r="B13" s="20">
        <f>-(1-B23/B21)/B24</f>
        <v>-0.99023296062695432</v>
      </c>
      <c r="C13" s="25"/>
      <c r="S13" s="12">
        <f t="shared" si="3"/>
        <v>15.422108254079411</v>
      </c>
      <c r="T13">
        <f t="shared" si="0"/>
        <v>2.0187492497450994E-3</v>
      </c>
      <c r="U13" s="18">
        <f t="shared" si="1"/>
        <v>4.0753471493077851E-6</v>
      </c>
      <c r="V13" s="19">
        <f t="shared" si="2"/>
        <v>7.9292066554543794E-3</v>
      </c>
      <c r="AD13" s="27"/>
    </row>
    <row r="14" spans="1:37" ht="15" customHeight="1" x14ac:dyDescent="0.35">
      <c r="B14" s="21"/>
      <c r="C14" s="25"/>
      <c r="S14" s="12">
        <f t="shared" si="3"/>
        <v>16.817928305074293</v>
      </c>
      <c r="T14">
        <f t="shared" si="0"/>
        <v>2.2014616671592185E-3</v>
      </c>
      <c r="U14" s="18">
        <f t="shared" si="1"/>
        <v>4.8464315146453117E-6</v>
      </c>
      <c r="V14" s="19">
        <f t="shared" si="2"/>
        <v>9.4476630015662977E-3</v>
      </c>
      <c r="AD14" s="27"/>
    </row>
    <row r="15" spans="1:37" x14ac:dyDescent="0.35">
      <c r="A15" t="s">
        <v>22</v>
      </c>
      <c r="B15" s="20">
        <f>(1+B23*B21)/B24</f>
        <v>1.0038007428205402</v>
      </c>
      <c r="S15" s="12">
        <f t="shared" si="3"/>
        <v>18.340080864093427</v>
      </c>
      <c r="T15">
        <f t="shared" si="0"/>
        <v>2.4007109712032774E-3</v>
      </c>
      <c r="U15" s="18">
        <f t="shared" si="1"/>
        <v>5.7634103991787035E-6</v>
      </c>
      <c r="V15" s="19">
        <f t="shared" si="2"/>
        <v>1.1261029906066256E-2</v>
      </c>
      <c r="AD15" s="27"/>
    </row>
    <row r="16" spans="1:37" x14ac:dyDescent="0.35">
      <c r="A16" t="s">
        <v>23</v>
      </c>
      <c r="B16" s="20">
        <f>(-2*COS(B22))/B24</f>
        <v>-1.9895509574985246</v>
      </c>
      <c r="S16" s="12">
        <f t="shared" si="3"/>
        <v>20.000000000000004</v>
      </c>
      <c r="T16">
        <f t="shared" si="0"/>
        <v>2.6179938779914949E-3</v>
      </c>
      <c r="U16" s="18">
        <f t="shared" si="1"/>
        <v>6.8538880305489414E-6</v>
      </c>
      <c r="V16" s="19">
        <f t="shared" si="2"/>
        <v>1.3428307027375297E-2</v>
      </c>
      <c r="AD16" s="27"/>
    </row>
    <row r="17" spans="1:30" x14ac:dyDescent="0.35">
      <c r="A17" t="s">
        <v>24</v>
      </c>
      <c r="B17" s="20">
        <f>(1-B23*B21)/B24</f>
        <v>0.98643221780641399</v>
      </c>
      <c r="S17" s="12">
        <f t="shared" si="3"/>
        <v>21.810154653305158</v>
      </c>
      <c r="T17">
        <f t="shared" si="0"/>
        <v>2.8549425680200304E-3</v>
      </c>
      <c r="U17" s="18">
        <f t="shared" si="1"/>
        <v>8.1506915305390883E-6</v>
      </c>
      <c r="V17" s="19">
        <f t="shared" si="2"/>
        <v>1.6021016830968904E-2</v>
      </c>
      <c r="AD17" s="27"/>
    </row>
    <row r="18" spans="1:30" x14ac:dyDescent="0.35">
      <c r="S18" s="12">
        <f t="shared" si="3"/>
        <v>23.784142300054427</v>
      </c>
      <c r="T18">
        <f t="shared" si="0"/>
        <v>3.1133369467410514E-3</v>
      </c>
      <c r="U18" s="18">
        <f t="shared" si="1"/>
        <v>9.6928591146396239E-6</v>
      </c>
      <c r="V18" s="19">
        <f t="shared" si="2"/>
        <v>1.9126160751909538E-2</v>
      </c>
      <c r="AD18" s="27"/>
    </row>
    <row r="19" spans="1:30" x14ac:dyDescent="0.35">
      <c r="A19" t="s">
        <v>34</v>
      </c>
      <c r="B19" s="24" t="str">
        <f>IF(ABS(AF9)&lt;1,"Stable","Not stable")</f>
        <v>Stable</v>
      </c>
      <c r="S19" s="12">
        <f t="shared" si="3"/>
        <v>25.936791093020201</v>
      </c>
      <c r="T19">
        <f t="shared" si="0"/>
        <v>3.39511801481356E-3</v>
      </c>
      <c r="U19" s="18">
        <f t="shared" si="1"/>
        <v>1.1526815262205378E-5</v>
      </c>
      <c r="V19" s="19">
        <f t="shared" si="2"/>
        <v>2.2849994215988545E-2</v>
      </c>
      <c r="AD19" s="27"/>
    </row>
    <row r="20" spans="1:30" x14ac:dyDescent="0.35">
      <c r="S20" s="12">
        <f t="shared" si="3"/>
        <v>28.284271247461909</v>
      </c>
      <c r="T20">
        <f t="shared" si="0"/>
        <v>3.7024024484653062E-3</v>
      </c>
      <c r="U20" s="18">
        <f t="shared" si="1"/>
        <v>1.3707768231797451E-5</v>
      </c>
      <c r="V20" s="19">
        <f t="shared" si="2"/>
        <v>2.7322894620738225E-2</v>
      </c>
      <c r="AD20" s="27"/>
    </row>
    <row r="21" spans="1:30" x14ac:dyDescent="0.35">
      <c r="A21" s="32" t="s">
        <v>66</v>
      </c>
      <c r="B21">
        <f>10^(B5/40)</f>
        <v>1.333521432163324</v>
      </c>
      <c r="S21" s="12">
        <f t="shared" si="3"/>
        <v>30.844216508158826</v>
      </c>
      <c r="T21">
        <f t="shared" si="0"/>
        <v>4.0374984994901997E-3</v>
      </c>
      <c r="U21" s="18">
        <f t="shared" si="1"/>
        <v>1.6301371988776759E-5</v>
      </c>
      <c r="V21" s="19">
        <f t="shared" si="2"/>
        <v>3.2705705986465716E-2</v>
      </c>
      <c r="AD21" s="27"/>
    </row>
    <row r="22" spans="1:30" x14ac:dyDescent="0.35">
      <c r="A22" t="s">
        <v>52</v>
      </c>
      <c r="B22">
        <f>2*PI()*B3/B7</f>
        <v>2.6179938779914945E-2</v>
      </c>
      <c r="S22" s="12">
        <f t="shared" si="3"/>
        <v>33.635856610148593</v>
      </c>
      <c r="T22">
        <f t="shared" si="0"/>
        <v>4.4029233343184379E-3</v>
      </c>
      <c r="U22" s="18">
        <f t="shared" si="1"/>
        <v>1.9385702570682833E-5</v>
      </c>
      <c r="V22" s="19">
        <f t="shared" si="2"/>
        <v>3.9198104418446178E-2</v>
      </c>
      <c r="AD22" s="27"/>
    </row>
    <row r="23" spans="1:30" x14ac:dyDescent="0.35">
      <c r="A23" t="s">
        <v>53</v>
      </c>
      <c r="B23">
        <f>SIN(B22)/(2*B4)</f>
        <v>6.5442370769682881E-3</v>
      </c>
      <c r="S23" s="12">
        <f t="shared" si="3"/>
        <v>36.68016172818686</v>
      </c>
      <c r="T23">
        <f t="shared" si="0"/>
        <v>4.8014219424065549E-3</v>
      </c>
      <c r="U23" s="18">
        <f t="shared" si="1"/>
        <v>2.3053608379815388E-5</v>
      </c>
      <c r="V23" s="19">
        <f t="shared" si="2"/>
        <v>4.7049766514746238E-2</v>
      </c>
      <c r="AD23" s="27"/>
    </row>
    <row r="24" spans="1:30" x14ac:dyDescent="0.35">
      <c r="A24" t="s">
        <v>19</v>
      </c>
      <c r="B24">
        <f>1+B23/B21</f>
        <v>1.0049074854885174</v>
      </c>
      <c r="S24" s="12">
        <f t="shared" si="3"/>
        <v>40.000000000000014</v>
      </c>
      <c r="T24">
        <f t="shared" si="0"/>
        <v>5.2359877559829907E-3</v>
      </c>
      <c r="U24" s="18">
        <f t="shared" si="1"/>
        <v>2.7415505146414638E-5</v>
      </c>
      <c r="V24" s="19">
        <f t="shared" si="2"/>
        <v>5.6575480969087266E-2</v>
      </c>
      <c r="AD24" s="27"/>
    </row>
    <row r="25" spans="1:30" x14ac:dyDescent="0.35">
      <c r="S25" s="12">
        <f t="shared" si="3"/>
        <v>43.620309306610324</v>
      </c>
      <c r="T25">
        <f t="shared" si="0"/>
        <v>5.7098851360400608E-3</v>
      </c>
      <c r="U25" s="18">
        <f t="shared" si="1"/>
        <v>3.2602699688383923E-5</v>
      </c>
      <c r="V25" s="19">
        <f t="shared" si="2"/>
        <v>6.8175890690369556E-2</v>
      </c>
      <c r="AD25" s="27"/>
    </row>
    <row r="26" spans="1:30" x14ac:dyDescent="0.35">
      <c r="S26" s="12">
        <f t="shared" si="3"/>
        <v>47.568284600108861</v>
      </c>
      <c r="T26">
        <f t="shared" si="0"/>
        <v>6.2266738934821028E-3</v>
      </c>
      <c r="U26" s="18">
        <f t="shared" si="1"/>
        <v>3.8771342507040672E-5</v>
      </c>
      <c r="V26" s="19">
        <f t="shared" si="2"/>
        <v>8.2366402044257825E-2</v>
      </c>
      <c r="AD26" s="27"/>
    </row>
    <row r="27" spans="1:30" x14ac:dyDescent="0.35">
      <c r="S27" s="12">
        <f t="shared" si="3"/>
        <v>51.873582186040409</v>
      </c>
      <c r="T27">
        <f t="shared" si="0"/>
        <v>6.7902360296271218E-3</v>
      </c>
      <c r="U27" s="18">
        <f t="shared" si="1"/>
        <v>4.6107128181351442E-5</v>
      </c>
      <c r="V27" s="19">
        <f t="shared" si="2"/>
        <v>9.9818138970150017E-2</v>
      </c>
      <c r="AD27" s="27"/>
    </row>
    <row r="28" spans="1:30" x14ac:dyDescent="0.35">
      <c r="S28" s="12">
        <f t="shared" si="3"/>
        <v>56.568542494923825</v>
      </c>
      <c r="T28">
        <f t="shared" si="0"/>
        <v>7.4048048969306141E-3</v>
      </c>
      <c r="U28" s="18">
        <f t="shared" si="1"/>
        <v>5.4830885024279924E-5</v>
      </c>
      <c r="V28" s="19">
        <f t="shared" si="2"/>
        <v>0.12141697615567182</v>
      </c>
      <c r="AD28" s="27"/>
    </row>
    <row r="29" spans="1:30" x14ac:dyDescent="0.35">
      <c r="S29" s="12">
        <f t="shared" si="3"/>
        <v>61.68843301631766</v>
      </c>
      <c r="T29">
        <f t="shared" si="0"/>
        <v>8.0749969989804011E-3</v>
      </c>
      <c r="U29" s="18">
        <f t="shared" si="1"/>
        <v>6.5205222220378339E-5</v>
      </c>
      <c r="V29" s="19">
        <f t="shared" si="2"/>
        <v>0.14835021875261845</v>
      </c>
      <c r="AD29" s="27"/>
    </row>
    <row r="30" spans="1:30" x14ac:dyDescent="0.35">
      <c r="S30" s="12">
        <f t="shared" si="3"/>
        <v>67.271713220297201</v>
      </c>
      <c r="T30">
        <f t="shared" si="0"/>
        <v>8.8058466686368776E-3</v>
      </c>
      <c r="U30" s="18">
        <f t="shared" si="1"/>
        <v>7.7542434477267176E-5</v>
      </c>
      <c r="V30" s="19">
        <f t="shared" si="2"/>
        <v>0.18223639844508455</v>
      </c>
      <c r="AD30" s="27"/>
    </row>
    <row r="31" spans="1:30" x14ac:dyDescent="0.35">
      <c r="S31" s="12">
        <f t="shared" si="3"/>
        <v>73.360323456373735</v>
      </c>
      <c r="T31">
        <f t="shared" si="0"/>
        <v>9.6028438848131132E-3</v>
      </c>
      <c r="U31" s="18">
        <f t="shared" si="1"/>
        <v>9.2213902050402276E-5</v>
      </c>
      <c r="V31" s="19">
        <f t="shared" si="2"/>
        <v>0.22532370601862795</v>
      </c>
      <c r="AD31" s="27"/>
    </row>
    <row r="32" spans="1:30" x14ac:dyDescent="0.35">
      <c r="S32" s="12">
        <f t="shared" si="3"/>
        <v>80.000000000000043</v>
      </c>
      <c r="T32">
        <f t="shared" si="0"/>
        <v>1.0471975511965983E-2</v>
      </c>
      <c r="U32" s="18">
        <f t="shared" si="1"/>
        <v>1.0966126897573617E-4</v>
      </c>
      <c r="V32" s="19">
        <f t="shared" si="2"/>
        <v>0.28079999878779915</v>
      </c>
      <c r="AD32" s="27"/>
    </row>
    <row r="33" spans="19:30" x14ac:dyDescent="0.35">
      <c r="S33" s="12">
        <f t="shared" si="3"/>
        <v>87.240618613220661</v>
      </c>
      <c r="T33">
        <f t="shared" si="0"/>
        <v>1.1419770272080123E-2</v>
      </c>
      <c r="U33" s="18">
        <f t="shared" si="1"/>
        <v>1.3040973581750876E-4</v>
      </c>
      <c r="V33" s="19">
        <f t="shared" si="2"/>
        <v>0.35328792050682978</v>
      </c>
      <c r="AD33" s="27"/>
    </row>
    <row r="34" spans="19:30" x14ac:dyDescent="0.35">
      <c r="S34" s="12">
        <f t="shared" si="3"/>
        <v>95.136569200217735</v>
      </c>
      <c r="T34">
        <f t="shared" si="0"/>
        <v>1.2453347786964209E-2</v>
      </c>
      <c r="U34" s="18">
        <f t="shared" si="1"/>
        <v>1.5508386681116297E-4</v>
      </c>
      <c r="V34" s="19">
        <f t="shared" si="2"/>
        <v>0.44965263856830973</v>
      </c>
      <c r="AD34" s="27"/>
    </row>
    <row r="35" spans="19:30" x14ac:dyDescent="0.35">
      <c r="S35" s="12">
        <f t="shared" si="3"/>
        <v>103.74716437208083</v>
      </c>
      <c r="T35">
        <f t="shared" si="0"/>
        <v>1.3580472059254244E-2</v>
      </c>
      <c r="U35" s="18">
        <f t="shared" si="1"/>
        <v>1.8442638685813666E-4</v>
      </c>
      <c r="V35" s="19">
        <f t="shared" si="2"/>
        <v>0.58034312195610482</v>
      </c>
      <c r="AD35" s="27"/>
    </row>
    <row r="36" spans="19:30" x14ac:dyDescent="0.35">
      <c r="S36" s="12">
        <f t="shared" si="3"/>
        <v>113.13708498984766</v>
      </c>
      <c r="T36">
        <f t="shared" si="0"/>
        <v>1.4809609793861228E-2</v>
      </c>
      <c r="U36" s="18">
        <f t="shared" si="1"/>
        <v>2.1932053367116719E-4</v>
      </c>
      <c r="V36" s="19">
        <f t="shared" si="2"/>
        <v>0.76163731284766811</v>
      </c>
      <c r="AD36" s="27"/>
    </row>
    <row r="37" spans="19:30" x14ac:dyDescent="0.35">
      <c r="S37" s="12">
        <f t="shared" si="3"/>
        <v>123.37686603263533</v>
      </c>
      <c r="T37">
        <f t="shared" si="0"/>
        <v>1.6149993997960802E-2</v>
      </c>
      <c r="U37" s="18">
        <f t="shared" si="1"/>
        <v>2.6081663716050852E-4</v>
      </c>
      <c r="V37" s="19">
        <f t="shared" si="2"/>
        <v>1.0193368912304379</v>
      </c>
      <c r="AD37" s="27"/>
    </row>
    <row r="38" spans="19:30" x14ac:dyDescent="0.35">
      <c r="S38" s="12">
        <f t="shared" si="3"/>
        <v>134.5434264405944</v>
      </c>
      <c r="T38">
        <f t="shared" si="0"/>
        <v>1.7611693337273755E-2</v>
      </c>
      <c r="U38" s="18">
        <f t="shared" si="1"/>
        <v>3.1016372507992407E-4</v>
      </c>
      <c r="V38" s="19">
        <f t="shared" si="2"/>
        <v>1.3943309353936257</v>
      </c>
      <c r="AD38" s="27"/>
    </row>
    <row r="39" spans="19:30" x14ac:dyDescent="0.35">
      <c r="S39" s="12">
        <f t="shared" si="3"/>
        <v>146.72064691274747</v>
      </c>
      <c r="T39">
        <f t="shared" si="0"/>
        <v>1.9205687769626226E-2</v>
      </c>
      <c r="U39" s="18">
        <f t="shared" si="1"/>
        <v>3.6884710479787779E-4</v>
      </c>
      <c r="V39" s="19">
        <f t="shared" si="2"/>
        <v>1.9482400828974136</v>
      </c>
      <c r="AD39" s="27"/>
    </row>
    <row r="40" spans="19:30" x14ac:dyDescent="0.35">
      <c r="S40" s="12">
        <f t="shared" si="3"/>
        <v>160.00000000000009</v>
      </c>
      <c r="T40">
        <f t="shared" ref="T40:T71" si="4">2*PI()*S40/$B$7</f>
        <v>2.0943951023931966E-2</v>
      </c>
      <c r="U40" s="18">
        <f t="shared" ref="U40:U71" si="5">4*SIN(T40/2)^2</f>
        <v>4.3863305030903126E-4</v>
      </c>
      <c r="V40" s="19">
        <f t="shared" ref="V40:V71" si="6">10*LOG10(($B$15+$B$16+$B$17)^2 + ( $B$15*$B$17*U40 - ($B$16*($B$15+$B$17) + 4*$B$15*$B$17) )*U40 )  - 10*LOG10( (1+$AA$2+$AA$3)^2 + ( 1*$AA$3*U40 - ($AA$2*(1+$AA$3) + 4*1*$AA$3) )*U40)</f>
        <v>2.7552645550656649</v>
      </c>
      <c r="AD40" s="27"/>
    </row>
    <row r="41" spans="19:30" x14ac:dyDescent="0.35">
      <c r="S41" s="12">
        <f t="shared" ref="S41:S72" si="7">S40*2^(1/8)</f>
        <v>174.48123722644132</v>
      </c>
      <c r="T41">
        <f t="shared" si="4"/>
        <v>2.2839540544160247E-2</v>
      </c>
      <c r="U41" s="18">
        <f t="shared" si="5"/>
        <v>5.21621936570839E-4</v>
      </c>
      <c r="V41" s="19">
        <f t="shared" si="6"/>
        <v>3.8201496464701847</v>
      </c>
      <c r="AD41" s="27"/>
    </row>
    <row r="42" spans="19:30" x14ac:dyDescent="0.35">
      <c r="S42" s="12">
        <f t="shared" si="7"/>
        <v>190.27313840043547</v>
      </c>
      <c r="T42">
        <f t="shared" si="4"/>
        <v>2.4906695573928418E-2</v>
      </c>
      <c r="U42" s="18">
        <f t="shared" si="5"/>
        <v>6.2031141623890697E-4</v>
      </c>
      <c r="V42" s="19">
        <f t="shared" si="6"/>
        <v>4.7990825672434596</v>
      </c>
      <c r="AD42" s="27"/>
    </row>
    <row r="43" spans="19:30" x14ac:dyDescent="0.35">
      <c r="S43" s="12">
        <f t="shared" si="7"/>
        <v>207.49432874416166</v>
      </c>
      <c r="T43">
        <f t="shared" si="4"/>
        <v>2.7160944118508487E-2</v>
      </c>
      <c r="U43" s="18">
        <f t="shared" si="5"/>
        <v>7.3767153434037692E-4</v>
      </c>
      <c r="V43" s="19">
        <f t="shared" si="6"/>
        <v>4.8884052729053025</v>
      </c>
      <c r="AD43" s="27"/>
    </row>
    <row r="44" spans="19:30" x14ac:dyDescent="0.35">
      <c r="S44" s="12">
        <f t="shared" si="7"/>
        <v>226.27416997969533</v>
      </c>
      <c r="T44">
        <f t="shared" si="4"/>
        <v>2.9619219587722456E-2</v>
      </c>
      <c r="U44" s="18">
        <f t="shared" si="5"/>
        <v>8.7723403318817894E-4</v>
      </c>
      <c r="V44" s="19">
        <f t="shared" si="6"/>
        <v>3.9897804806008565</v>
      </c>
      <c r="AD44" s="27"/>
    </row>
    <row r="45" spans="19:30" x14ac:dyDescent="0.35">
      <c r="S45" s="12">
        <f t="shared" si="7"/>
        <v>246.75373206527067</v>
      </c>
      <c r="T45">
        <f t="shared" si="4"/>
        <v>3.2299987995921604E-2</v>
      </c>
      <c r="U45" s="18">
        <f t="shared" si="5"/>
        <v>1.0431985233238144E-3</v>
      </c>
      <c r="V45" s="19">
        <f t="shared" si="6"/>
        <v>2.9017441220664892</v>
      </c>
      <c r="AD45" s="27"/>
    </row>
    <row r="46" spans="19:30" x14ac:dyDescent="0.35">
      <c r="S46" s="12">
        <f t="shared" si="7"/>
        <v>269.0868528811888</v>
      </c>
      <c r="T46">
        <f t="shared" si="4"/>
        <v>3.522338667454751E-2</v>
      </c>
      <c r="U46" s="18">
        <f t="shared" si="5"/>
        <v>1.2405586987833408E-3</v>
      </c>
      <c r="V46" s="19">
        <f t="shared" si="6"/>
        <v>2.0519245179496863</v>
      </c>
      <c r="AD46" s="27"/>
    </row>
    <row r="47" spans="19:30" x14ac:dyDescent="0.35">
      <c r="S47" s="12">
        <f t="shared" si="7"/>
        <v>293.44129382549494</v>
      </c>
      <c r="T47">
        <f t="shared" si="4"/>
        <v>3.8411375539252453E-2</v>
      </c>
      <c r="U47" s="18">
        <f t="shared" si="5"/>
        <v>1.4752523710047933E-3</v>
      </c>
      <c r="V47" s="19">
        <f t="shared" si="6"/>
        <v>1.4644299184295946</v>
      </c>
      <c r="AD47" s="27"/>
    </row>
    <row r="48" spans="19:30" x14ac:dyDescent="0.35">
      <c r="S48" s="12">
        <f t="shared" si="7"/>
        <v>320.00000000000017</v>
      </c>
      <c r="T48">
        <f t="shared" si="4"/>
        <v>4.1887902047863933E-2</v>
      </c>
      <c r="U48" s="18">
        <f t="shared" si="5"/>
        <v>1.7543398022833016E-3</v>
      </c>
      <c r="V48" s="19">
        <f t="shared" si="6"/>
        <v>1.0669287531767253</v>
      </c>
      <c r="AD48" s="27"/>
    </row>
    <row r="49" spans="19:30" x14ac:dyDescent="0.35">
      <c r="S49" s="12">
        <f t="shared" si="7"/>
        <v>348.96247445288265</v>
      </c>
      <c r="T49">
        <f t="shared" si="4"/>
        <v>4.5679081088320493E-2</v>
      </c>
      <c r="U49" s="18">
        <f t="shared" si="5"/>
        <v>2.086215656838644E-3</v>
      </c>
      <c r="V49" s="19">
        <f t="shared" si="6"/>
        <v>0.79461181297072869</v>
      </c>
      <c r="AD49" s="27"/>
    </row>
    <row r="50" spans="19:30" x14ac:dyDescent="0.35">
      <c r="S50" s="12">
        <f t="shared" si="7"/>
        <v>380.54627680087094</v>
      </c>
      <c r="T50">
        <f t="shared" si="4"/>
        <v>4.9813391147856836E-2</v>
      </c>
      <c r="U50" s="18">
        <f t="shared" si="5"/>
        <v>2.480860878702511E-3</v>
      </c>
      <c r="V50" s="19">
        <f t="shared" si="6"/>
        <v>0.60374668485435024</v>
      </c>
      <c r="AD50" s="27"/>
    </row>
    <row r="51" spans="19:30" x14ac:dyDescent="0.35">
      <c r="S51" s="12">
        <f t="shared" si="7"/>
        <v>414.98865748832333</v>
      </c>
      <c r="T51">
        <f t="shared" si="4"/>
        <v>5.4321888237016974E-2</v>
      </c>
      <c r="U51" s="18">
        <f t="shared" si="5"/>
        <v>2.9501419780689321E-3</v>
      </c>
      <c r="V51" s="19">
        <f t="shared" si="6"/>
        <v>0.46665394674211313</v>
      </c>
      <c r="AD51" s="27"/>
    </row>
    <row r="52" spans="19:30" x14ac:dyDescent="0.35">
      <c r="S52" s="12">
        <f t="shared" si="7"/>
        <v>452.54833995939066</v>
      </c>
      <c r="T52">
        <f t="shared" si="4"/>
        <v>5.9238439175444912E-2</v>
      </c>
      <c r="U52" s="18">
        <f t="shared" si="5"/>
        <v>3.5081665932037319E-3</v>
      </c>
      <c r="V52" s="19">
        <f t="shared" si="6"/>
        <v>0.36589816229732719</v>
      </c>
      <c r="AD52" s="27"/>
    </row>
    <row r="53" spans="19:30" x14ac:dyDescent="0.35">
      <c r="S53" s="12">
        <f t="shared" si="7"/>
        <v>493.50746413054134</v>
      </c>
      <c r="T53">
        <f t="shared" si="4"/>
        <v>6.4599975991843209E-2</v>
      </c>
      <c r="U53" s="18">
        <f t="shared" si="5"/>
        <v>4.1717058301361928E-3</v>
      </c>
      <c r="V53" s="19">
        <f t="shared" si="6"/>
        <v>0.29032296463147134</v>
      </c>
      <c r="AD53" s="27"/>
    </row>
    <row r="54" spans="19:30" x14ac:dyDescent="0.35">
      <c r="S54" s="12">
        <f t="shared" si="7"/>
        <v>538.17370576237761</v>
      </c>
      <c r="T54">
        <f t="shared" si="4"/>
        <v>7.0446773349095021E-2</v>
      </c>
      <c r="U54" s="18">
        <f t="shared" si="5"/>
        <v>4.9606958092482363E-3</v>
      </c>
      <c r="V54" s="19">
        <f t="shared" si="6"/>
        <v>0.23262536074206963</v>
      </c>
      <c r="AD54" s="27"/>
    </row>
    <row r="55" spans="19:30" x14ac:dyDescent="0.35">
      <c r="S55" s="12">
        <f t="shared" si="7"/>
        <v>586.88258765098988</v>
      </c>
      <c r="T55">
        <f t="shared" si="4"/>
        <v>7.6822751078504906E-2</v>
      </c>
      <c r="U55" s="18">
        <f t="shared" si="5"/>
        <v>5.8988331144610179E-3</v>
      </c>
      <c r="V55" s="19">
        <f t="shared" si="6"/>
        <v>0.18790610175924627</v>
      </c>
      <c r="AD55" s="27"/>
    </row>
    <row r="56" spans="19:30" x14ac:dyDescent="0.35">
      <c r="S56" s="12">
        <f t="shared" si="7"/>
        <v>640.00000000000034</v>
      </c>
      <c r="T56">
        <f t="shared" si="4"/>
        <v>8.3775804095727865E-2</v>
      </c>
      <c r="U56" s="18">
        <f t="shared" si="5"/>
        <v>7.0142815009913307E-3</v>
      </c>
      <c r="V56" s="19">
        <f t="shared" si="6"/>
        <v>0.1527985041331803</v>
      </c>
      <c r="AD56" s="27"/>
    </row>
    <row r="57" spans="19:30" x14ac:dyDescent="0.35">
      <c r="S57" s="12">
        <f t="shared" si="7"/>
        <v>697.92494890576529</v>
      </c>
      <c r="T57">
        <f t="shared" si="4"/>
        <v>9.1358162176640986E-2</v>
      </c>
      <c r="U57" s="18">
        <f t="shared" si="5"/>
        <v>8.3405103315877388E-3</v>
      </c>
      <c r="V57" s="19">
        <f t="shared" si="6"/>
        <v>0.12493604735025343</v>
      </c>
      <c r="AD57" s="27"/>
    </row>
    <row r="58" spans="19:30" x14ac:dyDescent="0.35">
      <c r="S58" s="12">
        <f t="shared" si="7"/>
        <v>761.09255360174188</v>
      </c>
      <c r="T58">
        <f t="shared" si="4"/>
        <v>9.9626782295713673E-2</v>
      </c>
      <c r="U58" s="18">
        <f t="shared" si="5"/>
        <v>9.9172888441105677E-3</v>
      </c>
      <c r="V58" s="19">
        <f t="shared" si="6"/>
        <v>0.10262012651249819</v>
      </c>
      <c r="AD58" s="27"/>
    </row>
    <row r="59" spans="19:30" x14ac:dyDescent="0.35">
      <c r="S59" s="12">
        <f t="shared" si="7"/>
        <v>829.97731497664665</v>
      </c>
      <c r="T59">
        <f t="shared" si="4"/>
        <v>0.10864377647403395</v>
      </c>
      <c r="U59" s="18">
        <f t="shared" si="5"/>
        <v>1.1791864574584964E-2</v>
      </c>
      <c r="V59" s="19">
        <f t="shared" si="6"/>
        <v>8.4608092630148235E-2</v>
      </c>
      <c r="AD59" s="27"/>
    </row>
    <row r="60" spans="19:30" x14ac:dyDescent="0.35">
      <c r="S60" s="12">
        <f t="shared" si="7"/>
        <v>905.09667991878132</v>
      </c>
      <c r="T60">
        <f t="shared" si="4"/>
        <v>0.11847687835088982</v>
      </c>
      <c r="U60" s="18">
        <f t="shared" si="5"/>
        <v>1.4020359139969256E-2</v>
      </c>
      <c r="V60" s="19">
        <f t="shared" si="6"/>
        <v>6.9975055621810611E-2</v>
      </c>
      <c r="AD60" s="27"/>
    </row>
    <row r="61" spans="19:30" x14ac:dyDescent="0.35">
      <c r="S61" s="12">
        <f t="shared" si="7"/>
        <v>987.01492826108267</v>
      </c>
      <c r="T61">
        <f t="shared" si="4"/>
        <v>0.12919995198368642</v>
      </c>
      <c r="U61" s="18">
        <f t="shared" si="5"/>
        <v>1.6669420191011579E-2</v>
      </c>
      <c r="V61" s="19">
        <f t="shared" si="6"/>
        <v>5.8021877545243683E-2</v>
      </c>
      <c r="AD61" s="27"/>
    </row>
    <row r="62" spans="19:30" x14ac:dyDescent="0.35">
      <c r="S62" s="12">
        <f t="shared" si="7"/>
        <v>1076.3474115247552</v>
      </c>
      <c r="T62">
        <f t="shared" si="4"/>
        <v>0.14089354669819004</v>
      </c>
      <c r="U62" s="18">
        <f t="shared" si="5"/>
        <v>1.9818174734081057E-2</v>
      </c>
      <c r="V62" s="19">
        <f t="shared" si="6"/>
        <v>4.8212692872837692E-2</v>
      </c>
      <c r="AD62" s="27"/>
    </row>
    <row r="63" spans="19:30" x14ac:dyDescent="0.35">
      <c r="S63" s="12">
        <f t="shared" si="7"/>
        <v>1173.7651753019798</v>
      </c>
      <c r="T63">
        <f t="shared" si="4"/>
        <v>0.15364550215700981</v>
      </c>
      <c r="U63" s="18">
        <f t="shared" si="5"/>
        <v>2.3560536225731808E-2</v>
      </c>
      <c r="V63" s="19">
        <f t="shared" si="6"/>
        <v>4.0131681372024275E-2</v>
      </c>
      <c r="AD63" s="27"/>
    </row>
    <row r="64" spans="19:30" x14ac:dyDescent="0.35">
      <c r="S64" s="12">
        <f t="shared" si="7"/>
        <v>1280.0000000000007</v>
      </c>
      <c r="T64">
        <f t="shared" si="4"/>
        <v>0.16755160819145573</v>
      </c>
      <c r="U64" s="18">
        <f t="shared" si="5"/>
        <v>2.8007925858990177E-2</v>
      </c>
      <c r="V64" s="19">
        <f t="shared" si="6"/>
        <v>3.3452632424491924E-2</v>
      </c>
      <c r="AD64" s="27"/>
    </row>
    <row r="65" spans="19:30" x14ac:dyDescent="0.35">
      <c r="S65" s="12">
        <f t="shared" si="7"/>
        <v>1395.8498978115306</v>
      </c>
      <c r="T65">
        <f t="shared" si="4"/>
        <v>0.18271632435328197</v>
      </c>
      <c r="U65" s="18">
        <f t="shared" si="5"/>
        <v>3.3292477213759629E-2</v>
      </c>
      <c r="V65" s="19">
        <f t="shared" si="6"/>
        <v>2.791716015442347E-2</v>
      </c>
      <c r="AD65" s="27"/>
    </row>
    <row r="66" spans="19:30" x14ac:dyDescent="0.35">
      <c r="S66" s="12">
        <f t="shared" si="7"/>
        <v>1522.1851072034838</v>
      </c>
      <c r="T66">
        <f t="shared" si="4"/>
        <v>0.19925356459142735</v>
      </c>
      <c r="U66" s="18">
        <f t="shared" si="5"/>
        <v>3.9570802758424749E-2</v>
      </c>
      <c r="V66" s="19">
        <f t="shared" si="6"/>
        <v>2.3318867901490847E-2</v>
      </c>
      <c r="AD66" s="27"/>
    </row>
    <row r="67" spans="19:30" x14ac:dyDescent="0.35">
      <c r="S67" s="12">
        <f t="shared" si="7"/>
        <v>1659.9546299532933</v>
      </c>
      <c r="T67">
        <f t="shared" si="4"/>
        <v>0.2172875529480679</v>
      </c>
      <c r="U67" s="18">
        <f t="shared" si="5"/>
        <v>4.7028410228194505E-2</v>
      </c>
      <c r="V67" s="19">
        <f t="shared" si="6"/>
        <v>1.9491669493323371E-2</v>
      </c>
      <c r="AD67" s="27"/>
    </row>
    <row r="68" spans="19:30" x14ac:dyDescent="0.35">
      <c r="S68" s="12">
        <f t="shared" si="7"/>
        <v>1810.1933598375626</v>
      </c>
      <c r="T68">
        <f t="shared" si="4"/>
        <v>0.23695375670177965</v>
      </c>
      <c r="U68" s="18">
        <f t="shared" si="5"/>
        <v>5.588486608946331E-2</v>
      </c>
      <c r="V68" s="19">
        <f t="shared" si="6"/>
        <v>1.6301058785419542E-2</v>
      </c>
      <c r="AD68" s="27"/>
    </row>
    <row r="69" spans="19:30" x14ac:dyDescent="0.35">
      <c r="S69" s="12">
        <f t="shared" si="7"/>
        <v>1974.0298565221653</v>
      </c>
      <c r="T69">
        <f t="shared" si="4"/>
        <v>0.25839990396737283</v>
      </c>
      <c r="U69" s="18">
        <f t="shared" si="5"/>
        <v>6.6399811194541802E-2</v>
      </c>
      <c r="V69" s="19">
        <f t="shared" si="6"/>
        <v>1.3637500326275642E-2</v>
      </c>
      <c r="AD69" s="27"/>
    </row>
    <row r="70" spans="19:30" x14ac:dyDescent="0.35">
      <c r="S70" s="12">
        <f t="shared" si="7"/>
        <v>2152.6948230495104</v>
      </c>
      <c r="T70">
        <f t="shared" si="4"/>
        <v>0.28178709339638008</v>
      </c>
      <c r="U70" s="18">
        <f t="shared" si="5"/>
        <v>7.8879938886533649E-2</v>
      </c>
      <c r="V70" s="19">
        <f t="shared" si="6"/>
        <v>1.1411366901995734E-2</v>
      </c>
      <c r="AD70" s="27"/>
    </row>
    <row r="71" spans="19:30" x14ac:dyDescent="0.35">
      <c r="S71" s="12">
        <f t="shared" si="7"/>
        <v>2347.5303506039595</v>
      </c>
      <c r="T71">
        <f t="shared" si="4"/>
        <v>0.30729100431401962</v>
      </c>
      <c r="U71" s="18">
        <f t="shared" si="5"/>
        <v>9.3687046035683216E-2</v>
      </c>
      <c r="V71" s="19">
        <f t="shared" si="6"/>
        <v>9.5490198342815802E-3</v>
      </c>
      <c r="AD71" s="27"/>
    </row>
    <row r="72" spans="19:30" x14ac:dyDescent="0.35">
      <c r="S72" s="12">
        <f t="shared" si="7"/>
        <v>2560.0000000000014</v>
      </c>
      <c r="T72">
        <f t="shared" ref="T72:T96" si="8">2*PI()*S72/$B$7</f>
        <v>0.33510321638291146</v>
      </c>
      <c r="U72" s="18">
        <f t="shared" ref="U72:U96" si="9">4*SIN(T72/2)^2</f>
        <v>0.11124725952503801</v>
      </c>
      <c r="V72" s="19">
        <f t="shared" ref="V72:V96" si="10">10*LOG10(($B$15+$B$16+$B$17)^2 + ( $B$15*$B$17*U72 - ($B$16*($B$15+$B$17) + 4*$B$15*$B$17) )*U72 )  - 10*LOG10( (1+$AA$2+$AA$3)^2 + ( 1*$AA$3*U72 - ($AA$2*(1+$AA$3) + 4*1*$AA$3) )*U72)</f>
        <v>7.9897439028293604E-3</v>
      </c>
      <c r="AD72" s="27"/>
    </row>
    <row r="73" spans="19:30" x14ac:dyDescent="0.35">
      <c r="S73" s="12">
        <f t="shared" ref="S73:S96" si="11">S72*2^(1/8)</f>
        <v>2791.6997956230612</v>
      </c>
      <c r="T73">
        <f t="shared" si="8"/>
        <v>0.36543264870656395</v>
      </c>
      <c r="U73" s="18">
        <f t="shared" si="9"/>
        <v>0.1320615198160098</v>
      </c>
      <c r="V73" s="19">
        <f t="shared" si="10"/>
        <v>6.6833288806300573E-3</v>
      </c>
      <c r="AD73" s="27"/>
    </row>
    <row r="74" spans="19:30" x14ac:dyDescent="0.35">
      <c r="S74" s="12">
        <f t="shared" si="11"/>
        <v>3044.3702144069675</v>
      </c>
      <c r="T74">
        <f t="shared" si="8"/>
        <v>0.39850712918285469</v>
      </c>
      <c r="U74" s="18">
        <f t="shared" si="9"/>
        <v>0.15671736260275285</v>
      </c>
      <c r="V74" s="19">
        <f t="shared" si="10"/>
        <v>5.5881456884137037E-3</v>
      </c>
      <c r="AD74" s="27"/>
    </row>
    <row r="75" spans="19:30" x14ac:dyDescent="0.35">
      <c r="S75" s="12">
        <f t="shared" si="11"/>
        <v>3319.9092599065866</v>
      </c>
      <c r="T75">
        <f t="shared" si="8"/>
        <v>0.43457510589613579</v>
      </c>
      <c r="U75" s="18">
        <f t="shared" si="9"/>
        <v>0.18590196954418667</v>
      </c>
      <c r="V75" s="19">
        <f t="shared" si="10"/>
        <v>4.6696048074590379E-3</v>
      </c>
      <c r="AD75" s="27"/>
    </row>
    <row r="76" spans="19:30" x14ac:dyDescent="0.35">
      <c r="S76" s="12">
        <f t="shared" si="11"/>
        <v>3620.3867196751253</v>
      </c>
      <c r="T76">
        <f t="shared" si="8"/>
        <v>0.4739075134035593</v>
      </c>
      <c r="U76" s="18">
        <f t="shared" si="9"/>
        <v>0.22041634610001598</v>
      </c>
      <c r="V76" s="19">
        <f t="shared" si="10"/>
        <v>3.8989129508184561E-3</v>
      </c>
      <c r="AD76" s="27"/>
    </row>
    <row r="77" spans="19:30" x14ac:dyDescent="0.35">
      <c r="S77" s="12">
        <f t="shared" si="11"/>
        <v>3948.0597130443307</v>
      </c>
      <c r="T77">
        <f t="shared" si="8"/>
        <v>0.51679980793474567</v>
      </c>
      <c r="U77" s="18">
        <f t="shared" si="9"/>
        <v>0.26119030985149644</v>
      </c>
      <c r="V77" s="19">
        <f t="shared" si="10"/>
        <v>3.2520645151787875E-3</v>
      </c>
      <c r="AD77" s="27"/>
    </row>
    <row r="78" spans="19:30" x14ac:dyDescent="0.35">
      <c r="S78" s="12">
        <f t="shared" si="11"/>
        <v>4305.3896460990209</v>
      </c>
      <c r="T78">
        <f t="shared" si="8"/>
        <v>0.56357418679276017</v>
      </c>
      <c r="U78" s="18">
        <f t="shared" si="9"/>
        <v>0.30929771078739127</v>
      </c>
      <c r="V78" s="19">
        <f t="shared" si="10"/>
        <v>2.7090193468115586E-3</v>
      </c>
      <c r="AD78" s="27"/>
    </row>
    <row r="79" spans="19:30" x14ac:dyDescent="0.35">
      <c r="S79" s="12">
        <f t="shared" si="11"/>
        <v>4695.060701207919</v>
      </c>
      <c r="T79">
        <f t="shared" si="8"/>
        <v>0.61458200862803924</v>
      </c>
      <c r="U79" s="18">
        <f t="shared" si="9"/>
        <v>0.36597092154784067</v>
      </c>
      <c r="V79" s="19">
        <f t="shared" si="10"/>
        <v>2.2530294527385308E-3</v>
      </c>
      <c r="AD79" s="27"/>
    </row>
    <row r="80" spans="19:30" x14ac:dyDescent="0.35">
      <c r="S80" s="12">
        <f t="shared" si="11"/>
        <v>5120.0000000000027</v>
      </c>
      <c r="T80">
        <f t="shared" si="8"/>
        <v>0.67020643276582292</v>
      </c>
      <c r="U80" s="18">
        <f t="shared" si="9"/>
        <v>0.43261308534832082</v>
      </c>
      <c r="V80" s="19">
        <f t="shared" si="10"/>
        <v>1.87008557866708E-3</v>
      </c>
      <c r="AD80" s="27"/>
    </row>
    <row r="81" spans="19:30" x14ac:dyDescent="0.35">
      <c r="S81" s="12">
        <f t="shared" si="11"/>
        <v>5583.3995912461223</v>
      </c>
      <c r="T81">
        <f t="shared" si="8"/>
        <v>0.73086529741312789</v>
      </c>
      <c r="U81" s="18">
        <f t="shared" si="9"/>
        <v>0.51080583424792492</v>
      </c>
      <c r="V81" s="19">
        <f t="shared" si="10"/>
        <v>1.5484608319322746E-3</v>
      </c>
      <c r="AD81" s="27"/>
    </row>
    <row r="82" spans="19:30" x14ac:dyDescent="0.35">
      <c r="S82" s="12">
        <f t="shared" si="11"/>
        <v>6088.7404288139351</v>
      </c>
      <c r="T82">
        <f t="shared" si="8"/>
        <v>0.79701425836570938</v>
      </c>
      <c r="U82" s="18">
        <f t="shared" si="9"/>
        <v>0.60230911866984871</v>
      </c>
      <c r="V82" s="19">
        <f t="shared" si="10"/>
        <v>1.2783332974377615E-3</v>
      </c>
      <c r="AD82" s="27"/>
    </row>
    <row r="83" spans="19:30" x14ac:dyDescent="0.35">
      <c r="S83" s="12">
        <f t="shared" si="11"/>
        <v>6639.8185198131732</v>
      </c>
      <c r="T83">
        <f t="shared" si="8"/>
        <v>0.86915021179227159</v>
      </c>
      <c r="U83" s="18">
        <f t="shared" si="9"/>
        <v>0.70904833589633898</v>
      </c>
      <c r="V83" s="19">
        <f t="shared" si="10"/>
        <v>1.0514732666875304E-3</v>
      </c>
      <c r="AD83" s="27"/>
    </row>
    <row r="84" spans="19:30" x14ac:dyDescent="0.35">
      <c r="S84" s="12">
        <f t="shared" si="11"/>
        <v>7240.7734393502506</v>
      </c>
      <c r="T84">
        <f t="shared" si="8"/>
        <v>0.9478150268071186</v>
      </c>
      <c r="U84" s="18">
        <f t="shared" si="9"/>
        <v>0.83308201877198185</v>
      </c>
      <c r="V84" s="19">
        <f t="shared" si="10"/>
        <v>8.6098355515340508E-4</v>
      </c>
      <c r="AD84" s="27"/>
    </row>
    <row r="85" spans="19:30" x14ac:dyDescent="0.35">
      <c r="S85" s="12">
        <f t="shared" si="11"/>
        <v>7896.1194260886614</v>
      </c>
      <c r="T85">
        <f t="shared" si="8"/>
        <v>1.0335996158694913</v>
      </c>
      <c r="U85" s="18">
        <f t="shared" si="9"/>
        <v>0.9765408614456651</v>
      </c>
      <c r="V85" s="19">
        <f t="shared" si="10"/>
        <v>7.0108362608700681E-4</v>
      </c>
      <c r="AD85" s="27"/>
    </row>
    <row r="86" spans="19:30" x14ac:dyDescent="0.35">
      <c r="S86" s="12">
        <f t="shared" si="11"/>
        <v>8610.7792921980417</v>
      </c>
      <c r="T86">
        <f t="shared" si="8"/>
        <v>1.1271483735855203</v>
      </c>
      <c r="U86" s="18">
        <f t="shared" si="9"/>
        <v>1.1415257692512444</v>
      </c>
      <c r="V86" s="19">
        <f t="shared" si="10"/>
        <v>5.6693002034702289E-4</v>
      </c>
      <c r="AD86" s="27"/>
    </row>
    <row r="87" spans="19:30" x14ac:dyDescent="0.35">
      <c r="S87" s="12">
        <f t="shared" si="11"/>
        <v>9390.121402415838</v>
      </c>
      <c r="T87">
        <f t="shared" si="8"/>
        <v>1.2291640172560785</v>
      </c>
      <c r="U87" s="18">
        <f t="shared" si="9"/>
        <v>1.3299489707727872</v>
      </c>
      <c r="V87" s="19">
        <f t="shared" si="10"/>
        <v>4.5446702633578084E-4</v>
      </c>
      <c r="AD87" s="27"/>
    </row>
    <row r="88" spans="19:30" x14ac:dyDescent="0.35">
      <c r="S88" s="12">
        <f t="shared" si="11"/>
        <v>10240.000000000005</v>
      </c>
      <c r="T88">
        <f t="shared" si="8"/>
        <v>1.3404128655316458</v>
      </c>
      <c r="U88" s="18">
        <f t="shared" si="9"/>
        <v>1.54329825977869</v>
      </c>
      <c r="V88" s="19">
        <f t="shared" si="10"/>
        <v>3.6030270140985365E-4</v>
      </c>
      <c r="AD88" s="27"/>
    </row>
    <row r="89" spans="19:30" x14ac:dyDescent="0.35">
      <c r="S89" s="12">
        <f t="shared" si="11"/>
        <v>11166.799182492245</v>
      </c>
      <c r="T89">
        <f t="shared" si="8"/>
        <v>1.4617305948262558</v>
      </c>
      <c r="U89" s="18">
        <f t="shared" si="9"/>
        <v>1.7823007366899815</v>
      </c>
      <c r="V89" s="19">
        <f t="shared" si="10"/>
        <v>2.8160635125829003E-4</v>
      </c>
      <c r="AD89" s="27"/>
    </row>
    <row r="90" spans="19:30" x14ac:dyDescent="0.35">
      <c r="S90" s="12">
        <f t="shared" si="11"/>
        <v>12177.48085762787</v>
      </c>
      <c r="T90">
        <f t="shared" si="8"/>
        <v>1.5940285167314188</v>
      </c>
      <c r="U90" s="18">
        <f t="shared" si="9"/>
        <v>2.0464602002465448</v>
      </c>
      <c r="V90" s="19">
        <f t="shared" si="10"/>
        <v>2.1602445815549487E-4</v>
      </c>
      <c r="AD90" s="27"/>
    </row>
    <row r="91" spans="19:30" x14ac:dyDescent="0.35">
      <c r="S91" s="12">
        <f t="shared" si="11"/>
        <v>13279.637039626346</v>
      </c>
      <c r="T91">
        <f t="shared" si="8"/>
        <v>1.7383004235845432</v>
      </c>
      <c r="U91" s="18">
        <f t="shared" si="9"/>
        <v>2.3334438009479883</v>
      </c>
      <c r="V91" s="19">
        <f t="shared" si="10"/>
        <v>1.6161290322536104E-4</v>
      </c>
      <c r="AD91" s="27"/>
    </row>
    <row r="92" spans="19:30" x14ac:dyDescent="0.35">
      <c r="S92" s="12">
        <f t="shared" si="11"/>
        <v>14481.546878700501</v>
      </c>
      <c r="T92">
        <f t="shared" si="8"/>
        <v>1.8956300536142372</v>
      </c>
      <c r="U92" s="18">
        <f t="shared" si="9"/>
        <v>2.6383024250867271</v>
      </c>
      <c r="V92" s="19">
        <f t="shared" si="10"/>
        <v>1.1678426451844359E-4</v>
      </c>
      <c r="AD92" s="27"/>
    </row>
    <row r="93" spans="19:30" x14ac:dyDescent="0.35">
      <c r="S93" s="12">
        <f t="shared" si="11"/>
        <v>15792.238852177323</v>
      </c>
      <c r="T93">
        <f t="shared" si="8"/>
        <v>2.0671992317389827</v>
      </c>
      <c r="U93" s="18">
        <f t="shared" si="9"/>
        <v>2.952531391709619</v>
      </c>
      <c r="V93" s="19">
        <f t="shared" si="10"/>
        <v>8.0270178813179882E-5</v>
      </c>
      <c r="AD93" s="27"/>
    </row>
    <row r="94" spans="19:30" x14ac:dyDescent="0.35">
      <c r="S94" s="12">
        <f t="shared" si="11"/>
        <v>17221.558584396083</v>
      </c>
      <c r="T94">
        <f t="shared" si="8"/>
        <v>2.2542967471710407</v>
      </c>
      <c r="U94" s="18">
        <f t="shared" si="9"/>
        <v>3.2630219951403325</v>
      </c>
      <c r="V94" s="19">
        <f t="shared" si="10"/>
        <v>5.1100586118124625E-5</v>
      </c>
      <c r="AD94" s="27"/>
    </row>
    <row r="95" spans="19:30" x14ac:dyDescent="0.35">
      <c r="S95" s="12">
        <f t="shared" si="11"/>
        <v>18780.242804831676</v>
      </c>
      <c r="T95">
        <f t="shared" si="8"/>
        <v>2.458328034512157</v>
      </c>
      <c r="U95" s="18">
        <f t="shared" si="9"/>
        <v>3.5510316182315527</v>
      </c>
      <c r="V95" s="19">
        <f t="shared" si="10"/>
        <v>2.8604867472026285E-5</v>
      </c>
      <c r="AD95" s="27"/>
    </row>
    <row r="96" spans="19:30" x14ac:dyDescent="0.35">
      <c r="S96" s="12">
        <f t="shared" si="11"/>
        <v>20480.000000000011</v>
      </c>
      <c r="T96">
        <f t="shared" si="8"/>
        <v>2.6808257310632917</v>
      </c>
      <c r="U96" s="18">
        <f t="shared" si="9"/>
        <v>3.7914235204788267</v>
      </c>
      <c r="V96" s="19">
        <f t="shared" si="10"/>
        <v>1.2446082621409005E-5</v>
      </c>
      <c r="AD96" s="27"/>
    </row>
    <row r="97" spans="19:30" x14ac:dyDescent="0.35">
      <c r="S97" s="12"/>
      <c r="U97" s="18"/>
      <c r="V97" s="19"/>
      <c r="AD97" s="27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04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6" max="26" width="17.54296875" bestFit="1" customWidth="1"/>
    <col min="28" max="28" width="18.54296875" bestFit="1" customWidth="1"/>
    <col min="29" max="29" width="17.81640625" customWidth="1"/>
    <col min="30" max="30" width="10.54296875" bestFit="1" customWidth="1"/>
    <col min="31" max="32" width="17.54296875" bestFit="1" customWidth="1"/>
    <col min="35" max="36" width="17.54296875" bestFit="1" customWidth="1"/>
  </cols>
  <sheetData>
    <row r="1" spans="1:36" x14ac:dyDescent="0.35">
      <c r="Y1" t="s">
        <v>19</v>
      </c>
      <c r="Z1" s="22">
        <v>1</v>
      </c>
      <c r="AA1" t="s">
        <v>22</v>
      </c>
      <c r="AB1" s="31">
        <f>(1+COS($B$22))/2</f>
        <v>0.99572243068690525</v>
      </c>
      <c r="AC1" s="31"/>
      <c r="AD1" t="s">
        <v>42</v>
      </c>
      <c r="AE1" s="22">
        <f>Z2^2-4*Z1*Z3</f>
        <v>-2.7977620220553945E-14</v>
      </c>
      <c r="AF1" s="22">
        <f>B16^2-4*B15*B17</f>
        <v>0</v>
      </c>
      <c r="AH1" t="s">
        <v>48</v>
      </c>
      <c r="AI1" s="22">
        <f>IF(AE1&lt;0,AE5,AE2)</f>
        <v>0.876976462992755</v>
      </c>
      <c r="AJ1" s="22">
        <f>IF(AE1&lt;0,AE5,AE2)</f>
        <v>0.876976462992755</v>
      </c>
    </row>
    <row r="2" spans="1:36" x14ac:dyDescent="0.35">
      <c r="A2" s="1" t="s">
        <v>56</v>
      </c>
      <c r="B2" s="6"/>
      <c r="Y2" t="s">
        <v>20</v>
      </c>
      <c r="Z2" s="22">
        <f>ROUND(-B12,14)</f>
        <v>-1.75395292598551</v>
      </c>
      <c r="AA2" t="s">
        <v>23</v>
      </c>
      <c r="AB2" s="31">
        <f>(1+COS($B$22))</f>
        <v>1.9914448613738105</v>
      </c>
      <c r="AC2" s="31"/>
      <c r="AD2" t="s">
        <v>43</v>
      </c>
      <c r="AE2" s="22" t="e">
        <f>(-Z2-SQRT(AE1))/2*Z1</f>
        <v>#NUM!</v>
      </c>
      <c r="AF2" s="22">
        <f>(-B16-SQRT(AF1))/2*B15</f>
        <v>0.77573846060089691</v>
      </c>
      <c r="AI2" s="22">
        <f>IF(AE1&lt;0,AE6,0)</f>
        <v>8.3632559778703931E-8</v>
      </c>
      <c r="AJ2" s="22">
        <f>IF(AE1&lt;0,-AE6,0)</f>
        <v>-8.3632559778703931E-8</v>
      </c>
    </row>
    <row r="3" spans="1:36" x14ac:dyDescent="0.35">
      <c r="A3" t="s">
        <v>50</v>
      </c>
      <c r="B3" s="26">
        <v>1000</v>
      </c>
      <c r="C3" t="s">
        <v>4</v>
      </c>
      <c r="Y3" t="s">
        <v>21</v>
      </c>
      <c r="Z3" s="22">
        <f>ROUND(-B13,14)</f>
        <v>0.76908771664329001</v>
      </c>
      <c r="AA3" t="s">
        <v>24</v>
      </c>
      <c r="AB3" s="31">
        <f>(1+COS($B$22))/2</f>
        <v>0.99572243068690525</v>
      </c>
      <c r="AC3" s="31"/>
      <c r="AD3" t="s">
        <v>44</v>
      </c>
      <c r="AE3" s="22" t="e">
        <f>(-Z2-SQRT(AE1))/2*Z1</f>
        <v>#NUM!</v>
      </c>
      <c r="AF3" s="22">
        <f>(-B16-SQRT(AF1))/2*B15</f>
        <v>0.77573846060089691</v>
      </c>
    </row>
    <row r="4" spans="1:36" x14ac:dyDescent="0.35">
      <c r="A4" t="s">
        <v>51</v>
      </c>
      <c r="B4" s="26">
        <v>0.5</v>
      </c>
      <c r="AA4" t="s">
        <v>52</v>
      </c>
      <c r="AB4">
        <f>2*PI()*$B$3/($B$6*4)</f>
        <v>3.2724923474893676E-2</v>
      </c>
      <c r="AE4" s="22"/>
      <c r="AF4" s="22"/>
      <c r="AH4" t="s">
        <v>49</v>
      </c>
      <c r="AI4" s="22">
        <f>IF(AF1&lt;0,AF5,AF2)</f>
        <v>0.77573846060089691</v>
      </c>
      <c r="AJ4" s="22">
        <f>IF(AF1&lt;0,AF5,AF2)</f>
        <v>0.77573846060089691</v>
      </c>
    </row>
    <row r="5" spans="1:36" x14ac:dyDescent="0.35">
      <c r="AA5" t="s">
        <v>53</v>
      </c>
      <c r="AB5">
        <f>SIN($B$22)/(2*$B$4)</f>
        <v>0.13052619222005157</v>
      </c>
      <c r="AD5" t="s">
        <v>45</v>
      </c>
      <c r="AE5" s="22">
        <f>-Z2/(2*Z1)</f>
        <v>0.876976462992755</v>
      </c>
      <c r="AF5" s="22">
        <f>-B16/(2*B15)</f>
        <v>1</v>
      </c>
      <c r="AG5" s="1"/>
      <c r="AI5" s="22">
        <f>IF(AF1&lt;0,AF6,0)</f>
        <v>0</v>
      </c>
      <c r="AJ5" s="22">
        <f>IF(AF1&lt;0,-AF6,0)</f>
        <v>0</v>
      </c>
    </row>
    <row r="6" spans="1:36" x14ac:dyDescent="0.35">
      <c r="A6" t="s">
        <v>16</v>
      </c>
      <c r="B6" s="6">
        <v>48000</v>
      </c>
      <c r="C6" t="s">
        <v>4</v>
      </c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D6" t="s">
        <v>46</v>
      </c>
      <c r="AE6" s="22">
        <f>SQRT(-AE1)/(2*Z1)</f>
        <v>8.3632559778703931E-8</v>
      </c>
      <c r="AF6" s="22">
        <f>SQRT(-AF1)/(2*B15)</f>
        <v>0</v>
      </c>
    </row>
    <row r="7" spans="1:36" x14ac:dyDescent="0.35">
      <c r="B7" s="6"/>
      <c r="S7" s="7" t="s">
        <v>4</v>
      </c>
      <c r="V7" s="17" t="s">
        <v>14</v>
      </c>
      <c r="W7" s="16"/>
      <c r="X7" s="16"/>
      <c r="Y7" s="16"/>
      <c r="AD7" t="s">
        <v>47</v>
      </c>
      <c r="AE7" s="22">
        <f>SQRT(AE5^2+AE6^2)</f>
        <v>0.876976462992759</v>
      </c>
    </row>
    <row r="8" spans="1:36" x14ac:dyDescent="0.35">
      <c r="B8" s="6"/>
      <c r="S8" s="9">
        <v>10</v>
      </c>
      <c r="T8">
        <f>2*PI()*S8/$B$6</f>
        <v>1.308996938995747E-3</v>
      </c>
      <c r="U8" s="18">
        <f>4*SIN(T8/2)^2</f>
        <v>1.7134727416344432E-6</v>
      </c>
      <c r="V8" s="19">
        <f t="shared" ref="V8:V71" si="0">10*LOG10(($B$15+$B$16+$B$17)^2 + ( $B$15*$B$17*U8 - ($B$16*($B$15+$B$17) + 4*$B$15*$B$17) )*U8 )  - 10*LOG10( (1+$Z$2+$Z$3)^2 + ( 1*$Z$3*U8 - ($Z$2*(1+$Z$3) + 4*1*$Z$3) )*U8)</f>
        <v>-80.025693471386404</v>
      </c>
      <c r="Y8" s="27"/>
      <c r="Z8" s="28"/>
      <c r="AE8" s="22"/>
    </row>
    <row r="9" spans="1:36" x14ac:dyDescent="0.35">
      <c r="A9" s="33" t="s">
        <v>54</v>
      </c>
      <c r="B9" s="33"/>
      <c r="C9" s="33"/>
      <c r="D9" s="1"/>
      <c r="S9" s="12">
        <f>S8*2^(1/8)</f>
        <v>10.905077326652577</v>
      </c>
      <c r="T9">
        <f>2*PI()*S9/$B$6</f>
        <v>1.427471284010015E-3</v>
      </c>
      <c r="U9" s="18">
        <f>4*SIN(T9/2)^2</f>
        <v>2.0376739206635231E-6</v>
      </c>
      <c r="V9" s="19">
        <f t="shared" si="0"/>
        <v>-78.520706880038603</v>
      </c>
      <c r="Z9" s="28"/>
      <c r="AE9" s="22">
        <f>IF(AE1&lt;0,AE7,AE2)</f>
        <v>0.876976462992759</v>
      </c>
    </row>
    <row r="10" spans="1:36" x14ac:dyDescent="0.35">
      <c r="A10" s="33" t="s">
        <v>55</v>
      </c>
      <c r="B10" s="33"/>
      <c r="C10" s="33"/>
      <c r="S10" s="12">
        <f t="shared" ref="S10:S73" si="1">S9*2^(1/8)</f>
        <v>11.892071150027212</v>
      </c>
      <c r="T10">
        <f t="shared" ref="T10:T73" si="2">2*PI()*S10/$B$6</f>
        <v>1.5566684733705255E-3</v>
      </c>
      <c r="U10" s="18">
        <f t="shared" ref="U10:U73" si="3">4*SIN(T10/2)^2</f>
        <v>2.4232162466541498E-6</v>
      </c>
      <c r="V10" s="19">
        <f t="shared" si="0"/>
        <v>-77.0157511986678</v>
      </c>
      <c r="Z10" s="28"/>
    </row>
    <row r="11" spans="1:36" x14ac:dyDescent="0.35">
      <c r="A11" t="s">
        <v>19</v>
      </c>
      <c r="B11" s="23">
        <v>1</v>
      </c>
      <c r="S11" s="12">
        <f t="shared" si="1"/>
        <v>12.968395546510099</v>
      </c>
      <c r="T11">
        <f t="shared" si="2"/>
        <v>1.6975590074067798E-3</v>
      </c>
      <c r="U11" s="18">
        <f t="shared" si="3"/>
        <v>2.8817058916085552E-6</v>
      </c>
      <c r="V11" s="19">
        <f t="shared" si="0"/>
        <v>-75.510832274004727</v>
      </c>
      <c r="Z11" s="28"/>
    </row>
    <row r="12" spans="1:36" x14ac:dyDescent="0.35">
      <c r="A12" t="s">
        <v>20</v>
      </c>
      <c r="B12" s="20">
        <f>-(-2*COS(B22))/B24</f>
        <v>1.7539529259855138</v>
      </c>
      <c r="S12" s="12">
        <f t="shared" si="1"/>
        <v>14.142135623730953</v>
      </c>
      <c r="T12">
        <f t="shared" si="2"/>
        <v>1.8512012242326529E-3</v>
      </c>
      <c r="U12" s="18">
        <f t="shared" si="3"/>
        <v>3.4269449939373591E-6</v>
      </c>
      <c r="V12" s="19">
        <f t="shared" si="0"/>
        <v>-74.005957058337117</v>
      </c>
      <c r="Z12" s="28"/>
    </row>
    <row r="13" spans="1:36" ht="15" customHeight="1" x14ac:dyDescent="0.35">
      <c r="A13" t="s">
        <v>21</v>
      </c>
      <c r="B13" s="20">
        <f>-(1-B23)/B24</f>
        <v>-0.76908771664328623</v>
      </c>
      <c r="C13" s="25"/>
      <c r="S13" s="12">
        <f t="shared" si="1"/>
        <v>15.422108254079411</v>
      </c>
      <c r="T13">
        <f t="shared" si="2"/>
        <v>2.0187492497450994E-3</v>
      </c>
      <c r="U13" s="18">
        <f t="shared" si="3"/>
        <v>4.0753471493077851E-6</v>
      </c>
      <c r="V13" s="19">
        <f t="shared" si="0"/>
        <v>-72.501133818404668</v>
      </c>
      <c r="Z13" s="28"/>
    </row>
    <row r="14" spans="1:36" ht="15" customHeight="1" x14ac:dyDescent="0.35">
      <c r="B14" s="21"/>
      <c r="C14" s="25"/>
      <c r="S14" s="12">
        <f t="shared" si="1"/>
        <v>16.817928305074293</v>
      </c>
      <c r="T14">
        <f t="shared" si="2"/>
        <v>2.2014616671592185E-3</v>
      </c>
      <c r="U14" s="18">
        <f t="shared" si="3"/>
        <v>4.8464315146453117E-6</v>
      </c>
      <c r="V14" s="19">
        <f t="shared" si="0"/>
        <v>-70.996372383701328</v>
      </c>
      <c r="Z14" s="28"/>
    </row>
    <row r="15" spans="1:36" x14ac:dyDescent="0.35">
      <c r="A15" t="s">
        <v>22</v>
      </c>
      <c r="B15" s="20">
        <f>((1+COS($B$22))/2)/$B$24</f>
        <v>0.88076016065720009</v>
      </c>
      <c r="S15" s="12">
        <f t="shared" si="1"/>
        <v>18.340080864093427</v>
      </c>
      <c r="T15">
        <f t="shared" si="2"/>
        <v>2.4007109712032774E-3</v>
      </c>
      <c r="U15" s="18">
        <f t="shared" si="3"/>
        <v>5.7634103991787035E-6</v>
      </c>
      <c r="V15" s="19">
        <f t="shared" si="0"/>
        <v>-69.491684441591403</v>
      </c>
      <c r="Z15" s="28"/>
    </row>
    <row r="16" spans="1:36" x14ac:dyDescent="0.35">
      <c r="A16" t="s">
        <v>23</v>
      </c>
      <c r="B16" s="20">
        <f>(-(1+COS($B$22)))/$B$24</f>
        <v>-1.7615203213144002</v>
      </c>
      <c r="S16" s="12">
        <f t="shared" si="1"/>
        <v>20.000000000000004</v>
      </c>
      <c r="T16">
        <f t="shared" si="2"/>
        <v>2.6179938779914949E-3</v>
      </c>
      <c r="U16" s="18">
        <f t="shared" si="3"/>
        <v>6.8538880305489414E-6</v>
      </c>
      <c r="V16" s="19">
        <f t="shared" si="0"/>
        <v>-67.987083888028991</v>
      </c>
      <c r="Z16" s="28"/>
    </row>
    <row r="17" spans="1:26" x14ac:dyDescent="0.35">
      <c r="A17" t="s">
        <v>24</v>
      </c>
      <c r="B17" s="20">
        <f>((1+COS($B$22))/2)/$B$24</f>
        <v>0.88076016065720009</v>
      </c>
      <c r="S17" s="12">
        <f t="shared" si="1"/>
        <v>21.810154653305158</v>
      </c>
      <c r="T17">
        <f t="shared" si="2"/>
        <v>2.8549425680200304E-3</v>
      </c>
      <c r="U17" s="18">
        <f t="shared" si="3"/>
        <v>8.1506915305390883E-6</v>
      </c>
      <c r="V17" s="19">
        <f t="shared" si="0"/>
        <v>-66.482587244303843</v>
      </c>
      <c r="Z17" s="28"/>
    </row>
    <row r="18" spans="1:26" x14ac:dyDescent="0.35">
      <c r="S18" s="12">
        <f t="shared" si="1"/>
        <v>23.784142300054427</v>
      </c>
      <c r="T18">
        <f t="shared" si="2"/>
        <v>3.1133369467410514E-3</v>
      </c>
      <c r="U18" s="18">
        <f t="shared" si="3"/>
        <v>9.6928591146396239E-6</v>
      </c>
      <c r="V18" s="19">
        <f t="shared" si="0"/>
        <v>-64.978214152168817</v>
      </c>
      <c r="Z18" s="28"/>
    </row>
    <row r="19" spans="1:26" x14ac:dyDescent="0.35">
      <c r="A19" t="s">
        <v>34</v>
      </c>
      <c r="B19" s="24" t="str">
        <f>IF(ABS(AE9)&lt;1,"Stable","Not stable")</f>
        <v>Stable</v>
      </c>
      <c r="S19" s="12">
        <f t="shared" si="1"/>
        <v>25.936791093020201</v>
      </c>
      <c r="T19">
        <f t="shared" si="2"/>
        <v>3.39511801481356E-3</v>
      </c>
      <c r="U19" s="18">
        <f t="shared" si="3"/>
        <v>1.1526815262205378E-5</v>
      </c>
      <c r="V19" s="19">
        <f t="shared" si="0"/>
        <v>-63.473987961985522</v>
      </c>
      <c r="Z19" s="28"/>
    </row>
    <row r="20" spans="1:26" x14ac:dyDescent="0.35">
      <c r="S20" s="12">
        <f t="shared" si="1"/>
        <v>28.284271247461909</v>
      </c>
      <c r="T20">
        <f t="shared" si="2"/>
        <v>3.7024024484653062E-3</v>
      </c>
      <c r="U20" s="18">
        <f t="shared" si="3"/>
        <v>1.3707768231797451E-5</v>
      </c>
      <c r="V20" s="19">
        <f t="shared" si="0"/>
        <v>-61.96993643121364</v>
      </c>
      <c r="Z20" s="28"/>
    </row>
    <row r="21" spans="1:26" x14ac:dyDescent="0.35">
      <c r="A21" s="1"/>
      <c r="S21" s="12">
        <f t="shared" si="1"/>
        <v>30.844216508158826</v>
      </c>
      <c r="T21">
        <f t="shared" si="2"/>
        <v>4.0374984994901997E-3</v>
      </c>
      <c r="U21" s="18">
        <f t="shared" si="3"/>
        <v>1.6301371988776759E-5</v>
      </c>
      <c r="V21" s="19">
        <f t="shared" si="0"/>
        <v>-60.466092553734406</v>
      </c>
      <c r="Z21" s="28"/>
    </row>
    <row r="22" spans="1:26" x14ac:dyDescent="0.35">
      <c r="A22" t="s">
        <v>52</v>
      </c>
      <c r="B22">
        <f>2*PI()*B3/B6</f>
        <v>0.1308996938995747</v>
      </c>
      <c r="S22" s="12">
        <f t="shared" si="1"/>
        <v>33.635856610148593</v>
      </c>
      <c r="T22">
        <f t="shared" si="2"/>
        <v>4.4029233343184379E-3</v>
      </c>
      <c r="U22" s="18">
        <f t="shared" si="3"/>
        <v>1.9385702570682833E-5</v>
      </c>
      <c r="V22" s="19">
        <f t="shared" si="0"/>
        <v>-58.962495544216559</v>
      </c>
      <c r="Z22" s="28"/>
    </row>
    <row r="23" spans="1:26" x14ac:dyDescent="0.35">
      <c r="A23" t="s">
        <v>53</v>
      </c>
      <c r="B23">
        <f>SIN(B22)/(2*B4)</f>
        <v>0.13052619222005157</v>
      </c>
      <c r="S23" s="12">
        <f t="shared" si="1"/>
        <v>36.68016172818686</v>
      </c>
      <c r="T23">
        <f t="shared" si="2"/>
        <v>4.8014219424065549E-3</v>
      </c>
      <c r="U23" s="18">
        <f t="shared" si="3"/>
        <v>2.3053608379815388E-5</v>
      </c>
      <c r="V23" s="19">
        <f t="shared" si="0"/>
        <v>-57.459192006087996</v>
      </c>
      <c r="Z23" s="28"/>
    </row>
    <row r="24" spans="1:26" x14ac:dyDescent="0.35">
      <c r="A24" t="s">
        <v>19</v>
      </c>
      <c r="B24">
        <f>1+B23</f>
        <v>1.1305261922200516</v>
      </c>
      <c r="S24" s="12">
        <f t="shared" si="1"/>
        <v>40.000000000000014</v>
      </c>
      <c r="T24">
        <f t="shared" si="2"/>
        <v>5.2359877559829907E-3</v>
      </c>
      <c r="U24" s="18">
        <f t="shared" si="3"/>
        <v>2.7415505146414638E-5</v>
      </c>
      <c r="V24" s="19">
        <f t="shared" si="0"/>
        <v>-55.956237316763854</v>
      </c>
      <c r="Z24" s="28"/>
    </row>
    <row r="25" spans="1:26" x14ac:dyDescent="0.35">
      <c r="S25" s="12">
        <f t="shared" si="1"/>
        <v>43.620309306610324</v>
      </c>
      <c r="T25">
        <f t="shared" si="2"/>
        <v>5.7098851360400608E-3</v>
      </c>
      <c r="U25" s="18">
        <f t="shared" si="3"/>
        <v>3.2602699688383923E-5</v>
      </c>
      <c r="V25" s="19">
        <f t="shared" si="0"/>
        <v>-54.453697269701308</v>
      </c>
      <c r="Z25" s="28"/>
    </row>
    <row r="26" spans="1:26" x14ac:dyDescent="0.35">
      <c r="S26" s="12">
        <f t="shared" si="1"/>
        <v>47.568284600108861</v>
      </c>
      <c r="T26">
        <f t="shared" si="2"/>
        <v>6.2266738934821028E-3</v>
      </c>
      <c r="U26" s="18">
        <f t="shared" si="3"/>
        <v>3.8771342507040672E-5</v>
      </c>
      <c r="V26" s="19">
        <f t="shared" si="0"/>
        <v>-52.951650019708993</v>
      </c>
      <c r="Z26" s="28"/>
    </row>
    <row r="27" spans="1:26" x14ac:dyDescent="0.35">
      <c r="S27" s="12">
        <f t="shared" si="1"/>
        <v>51.873582186040409</v>
      </c>
      <c r="T27">
        <f t="shared" si="2"/>
        <v>6.7902360296271218E-3</v>
      </c>
      <c r="U27" s="18">
        <f t="shared" si="3"/>
        <v>4.6107128181351442E-5</v>
      </c>
      <c r="V27" s="19">
        <f t="shared" si="0"/>
        <v>-51.450188385837585</v>
      </c>
      <c r="Z27" s="28"/>
    </row>
    <row r="28" spans="1:26" x14ac:dyDescent="0.35">
      <c r="S28" s="12">
        <f t="shared" si="1"/>
        <v>56.568542494923825</v>
      </c>
      <c r="T28">
        <f t="shared" si="2"/>
        <v>7.4048048969306141E-3</v>
      </c>
      <c r="U28" s="18">
        <f t="shared" si="3"/>
        <v>5.4830885024279924E-5</v>
      </c>
      <c r="V28" s="19">
        <f t="shared" si="0"/>
        <v>-49.949422575212523</v>
      </c>
      <c r="Z28" s="28"/>
    </row>
    <row r="29" spans="1:26" x14ac:dyDescent="0.35">
      <c r="S29" s="12">
        <f t="shared" si="1"/>
        <v>61.68843301631766</v>
      </c>
      <c r="T29">
        <f t="shared" si="2"/>
        <v>8.0749969989804011E-3</v>
      </c>
      <c r="U29" s="18">
        <f t="shared" si="3"/>
        <v>6.5205222220378339E-5</v>
      </c>
      <c r="V29" s="19">
        <f t="shared" si="0"/>
        <v>-48.449483401409154</v>
      </c>
      <c r="Z29" s="28"/>
    </row>
    <row r="30" spans="1:26" x14ac:dyDescent="0.35">
      <c r="S30" s="12">
        <f t="shared" si="1"/>
        <v>67.271713220297201</v>
      </c>
      <c r="T30">
        <f t="shared" si="2"/>
        <v>8.8058466686368776E-3</v>
      </c>
      <c r="U30" s="18">
        <f t="shared" si="3"/>
        <v>7.7542434477267176E-5</v>
      </c>
      <c r="V30" s="19">
        <f t="shared" si="0"/>
        <v>-46.950526082446991</v>
      </c>
      <c r="Z30" s="28"/>
    </row>
    <row r="31" spans="1:26" x14ac:dyDescent="0.35">
      <c r="S31" s="12">
        <f t="shared" si="1"/>
        <v>73.360323456373735</v>
      </c>
      <c r="T31">
        <f t="shared" si="2"/>
        <v>9.6028438848131132E-3</v>
      </c>
      <c r="U31" s="18">
        <f t="shared" si="3"/>
        <v>9.2213902050402276E-5</v>
      </c>
      <c r="V31" s="19">
        <f t="shared" si="0"/>
        <v>-45.452734716145564</v>
      </c>
      <c r="Z31" s="28"/>
    </row>
    <row r="32" spans="1:26" x14ac:dyDescent="0.35">
      <c r="S32" s="12">
        <f t="shared" si="1"/>
        <v>80.000000000000043</v>
      </c>
      <c r="T32">
        <f t="shared" si="2"/>
        <v>1.0471975511965983E-2</v>
      </c>
      <c r="U32" s="18">
        <f t="shared" si="3"/>
        <v>1.0966126897573617E-4</v>
      </c>
      <c r="V32" s="19">
        <f t="shared" si="0"/>
        <v>-43.956327544286587</v>
      </c>
      <c r="Z32" s="28"/>
    </row>
    <row r="33" spans="19:26" x14ac:dyDescent="0.35">
      <c r="S33" s="12">
        <f t="shared" si="1"/>
        <v>87.240618613220661</v>
      </c>
      <c r="T33">
        <f t="shared" si="2"/>
        <v>1.1419770272080123E-2</v>
      </c>
      <c r="U33" s="18">
        <f t="shared" si="3"/>
        <v>1.3040973581750876E-4</v>
      </c>
      <c r="V33" s="19">
        <f t="shared" si="0"/>
        <v>-42.461563131435902</v>
      </c>
      <c r="Z33" s="28"/>
    </row>
    <row r="34" spans="19:26" x14ac:dyDescent="0.35">
      <c r="S34" s="12">
        <f t="shared" si="1"/>
        <v>95.136569200217735</v>
      </c>
      <c r="T34">
        <f t="shared" si="2"/>
        <v>1.2453347786964209E-2</v>
      </c>
      <c r="U34" s="18">
        <f t="shared" si="3"/>
        <v>1.5508386681116297E-4</v>
      </c>
      <c r="V34" s="19">
        <f t="shared" si="0"/>
        <v>-40.968747598810964</v>
      </c>
      <c r="Z34" s="28"/>
    </row>
    <row r="35" spans="19:26" x14ac:dyDescent="0.35">
      <c r="S35" s="12">
        <f t="shared" si="1"/>
        <v>103.74716437208083</v>
      </c>
      <c r="T35">
        <f t="shared" si="2"/>
        <v>1.3580472059254244E-2</v>
      </c>
      <c r="U35" s="18">
        <f t="shared" si="3"/>
        <v>1.8442638685813666E-4</v>
      </c>
      <c r="V35" s="19">
        <f t="shared" si="0"/>
        <v>-39.478243067291046</v>
      </c>
      <c r="Z35" s="28"/>
    </row>
    <row r="36" spans="19:26" x14ac:dyDescent="0.35">
      <c r="S36" s="12">
        <f t="shared" si="1"/>
        <v>113.13708498984766</v>
      </c>
      <c r="T36">
        <f t="shared" si="2"/>
        <v>1.4809609793861228E-2</v>
      </c>
      <c r="U36" s="18">
        <f t="shared" si="3"/>
        <v>2.1932053367116719E-4</v>
      </c>
      <c r="V36" s="19">
        <f t="shared" si="0"/>
        <v>-37.990477475099652</v>
      </c>
      <c r="Z36" s="28"/>
    </row>
    <row r="37" spans="19:26" x14ac:dyDescent="0.35">
      <c r="S37" s="12">
        <f t="shared" si="1"/>
        <v>123.37686603263533</v>
      </c>
      <c r="T37">
        <f t="shared" si="2"/>
        <v>1.6149993997960802E-2</v>
      </c>
      <c r="U37" s="18">
        <f t="shared" si="3"/>
        <v>2.6081663716050852E-4</v>
      </c>
      <c r="V37" s="19">
        <f t="shared" si="0"/>
        <v>-36.50595594268453</v>
      </c>
      <c r="Z37" s="28"/>
    </row>
    <row r="38" spans="19:26" x14ac:dyDescent="0.35">
      <c r="S38" s="12">
        <f t="shared" si="1"/>
        <v>134.5434264405944</v>
      </c>
      <c r="T38">
        <f t="shared" si="2"/>
        <v>1.7611693337273755E-2</v>
      </c>
      <c r="U38" s="18">
        <f t="shared" si="3"/>
        <v>3.1016372507992407E-4</v>
      </c>
      <c r="V38" s="19">
        <f t="shared" si="0"/>
        <v>-35.025273856783613</v>
      </c>
      <c r="Z38" s="28"/>
    </row>
    <row r="39" spans="19:26" x14ac:dyDescent="0.35">
      <c r="S39" s="12">
        <f t="shared" si="1"/>
        <v>146.72064691274747</v>
      </c>
      <c r="T39">
        <f t="shared" si="2"/>
        <v>1.9205687769626226E-2</v>
      </c>
      <c r="U39" s="18">
        <f t="shared" si="3"/>
        <v>3.6884710479787779E-4</v>
      </c>
      <c r="V39" s="19">
        <f t="shared" si="0"/>
        <v>-33.549131833273634</v>
      </c>
      <c r="Z39" s="28"/>
    </row>
    <row r="40" spans="19:26" x14ac:dyDescent="0.35">
      <c r="S40" s="12">
        <f t="shared" si="1"/>
        <v>160.00000000000009</v>
      </c>
      <c r="T40">
        <f t="shared" si="2"/>
        <v>2.0943951023931966E-2</v>
      </c>
      <c r="U40" s="18">
        <f t="shared" si="3"/>
        <v>4.3863305030903126E-4</v>
      </c>
      <c r="V40" s="19">
        <f t="shared" si="0"/>
        <v>-32.078352688286159</v>
      </c>
      <c r="Z40" s="28"/>
    </row>
    <row r="41" spans="19:26" x14ac:dyDescent="0.35">
      <c r="S41" s="12">
        <f t="shared" si="1"/>
        <v>174.48123722644132</v>
      </c>
      <c r="T41">
        <f t="shared" si="2"/>
        <v>2.2839540544160247E-2</v>
      </c>
      <c r="U41" s="18">
        <f t="shared" si="3"/>
        <v>5.21621936570839E-4</v>
      </c>
      <c r="V41" s="19">
        <f t="shared" si="0"/>
        <v>-30.613900491510719</v>
      </c>
      <c r="Z41" s="28"/>
    </row>
    <row r="42" spans="19:26" x14ac:dyDescent="0.35">
      <c r="S42" s="12">
        <f t="shared" si="1"/>
        <v>190.27313840043547</v>
      </c>
      <c r="T42">
        <f t="shared" si="2"/>
        <v>2.4906695573928418E-2</v>
      </c>
      <c r="U42" s="18">
        <f t="shared" si="3"/>
        <v>6.2031141623890697E-4</v>
      </c>
      <c r="V42" s="19">
        <f t="shared" si="0"/>
        <v>-29.156901684732688</v>
      </c>
      <c r="Z42" s="28"/>
    </row>
    <row r="43" spans="19:26" x14ac:dyDescent="0.35">
      <c r="S43" s="12">
        <f t="shared" si="1"/>
        <v>207.49432874416166</v>
      </c>
      <c r="T43">
        <f t="shared" si="2"/>
        <v>2.7160944118508487E-2</v>
      </c>
      <c r="U43" s="18">
        <f t="shared" si="3"/>
        <v>7.3767153434037692E-4</v>
      </c>
      <c r="V43" s="19">
        <f t="shared" si="0"/>
        <v>-27.708668110435802</v>
      </c>
      <c r="Z43" s="28"/>
    </row>
    <row r="44" spans="19:26" x14ac:dyDescent="0.35">
      <c r="S44" s="12">
        <f t="shared" si="1"/>
        <v>226.27416997969533</v>
      </c>
      <c r="T44">
        <f t="shared" si="2"/>
        <v>2.9619219587722456E-2</v>
      </c>
      <c r="U44" s="18">
        <f t="shared" si="3"/>
        <v>8.7723403318817894E-4</v>
      </c>
      <c r="V44" s="19">
        <f t="shared" si="0"/>
        <v>-26.270721595841501</v>
      </c>
      <c r="Z44" s="28"/>
    </row>
    <row r="45" spans="19:26" x14ac:dyDescent="0.35">
      <c r="S45" s="12">
        <f t="shared" si="1"/>
        <v>246.75373206527067</v>
      </c>
      <c r="T45">
        <f t="shared" si="2"/>
        <v>3.2299987995921604E-2</v>
      </c>
      <c r="U45" s="18">
        <f t="shared" si="3"/>
        <v>1.0431985233238144E-3</v>
      </c>
      <c r="V45" s="19">
        <f t="shared" si="0"/>
        <v>-24.844819462338393</v>
      </c>
      <c r="Z45" s="28"/>
    </row>
    <row r="46" spans="19:26" x14ac:dyDescent="0.35">
      <c r="S46" s="12">
        <f t="shared" si="1"/>
        <v>269.0868528811888</v>
      </c>
      <c r="T46">
        <f t="shared" si="2"/>
        <v>3.522338667454751E-2</v>
      </c>
      <c r="U46" s="18">
        <f t="shared" si="3"/>
        <v>1.2405586987833408E-3</v>
      </c>
      <c r="V46" s="19">
        <f t="shared" si="0"/>
        <v>-23.432979965472924</v>
      </c>
      <c r="Z46" s="28"/>
    </row>
    <row r="47" spans="19:26" x14ac:dyDescent="0.35">
      <c r="S47" s="12">
        <f t="shared" si="1"/>
        <v>293.44129382549494</v>
      </c>
      <c r="T47">
        <f t="shared" si="2"/>
        <v>3.8411375539252453E-2</v>
      </c>
      <c r="U47" s="18">
        <f t="shared" si="3"/>
        <v>1.4752523710047933E-3</v>
      </c>
      <c r="V47" s="19">
        <f t="shared" si="0"/>
        <v>-22.037506208227924</v>
      </c>
      <c r="Z47" s="28"/>
    </row>
    <row r="48" spans="19:26" x14ac:dyDescent="0.35">
      <c r="S48" s="12">
        <f t="shared" si="1"/>
        <v>320.00000000000017</v>
      </c>
      <c r="T48">
        <f t="shared" si="2"/>
        <v>4.1887902047863933E-2</v>
      </c>
      <c r="U48" s="18">
        <f t="shared" si="3"/>
        <v>1.7543398022833016E-3</v>
      </c>
      <c r="V48" s="19">
        <f t="shared" si="0"/>
        <v>-20.66100651294807</v>
      </c>
      <c r="Z48" s="28"/>
    </row>
    <row r="49" spans="19:26" x14ac:dyDescent="0.35">
      <c r="S49" s="12">
        <f t="shared" si="1"/>
        <v>348.96247445288265</v>
      </c>
      <c r="T49">
        <f t="shared" si="2"/>
        <v>4.5679081088320493E-2</v>
      </c>
      <c r="U49" s="18">
        <f t="shared" si="3"/>
        <v>2.086215656838644E-3</v>
      </c>
      <c r="V49" s="19">
        <f t="shared" si="0"/>
        <v>-19.30640860713801</v>
      </c>
      <c r="Z49" s="28"/>
    </row>
    <row r="50" spans="19:26" x14ac:dyDescent="0.35">
      <c r="S50" s="12">
        <f t="shared" si="1"/>
        <v>380.54627680087094</v>
      </c>
      <c r="T50">
        <f t="shared" si="2"/>
        <v>4.9813391147856836E-2</v>
      </c>
      <c r="U50" s="18">
        <f t="shared" si="3"/>
        <v>2.480860878702511E-3</v>
      </c>
      <c r="V50" s="19">
        <f t="shared" si="0"/>
        <v>-17.976964327549865</v>
      </c>
      <c r="Z50" s="28"/>
    </row>
    <row r="51" spans="19:26" x14ac:dyDescent="0.35">
      <c r="S51" s="12">
        <f t="shared" si="1"/>
        <v>414.98865748832333</v>
      </c>
      <c r="T51">
        <f t="shared" si="2"/>
        <v>5.4321888237016974E-2</v>
      </c>
      <c r="U51" s="18">
        <f t="shared" si="3"/>
        <v>2.9501419780689321E-3</v>
      </c>
      <c r="V51" s="19">
        <f t="shared" si="0"/>
        <v>-16.676240968576515</v>
      </c>
      <c r="Z51" s="28"/>
    </row>
    <row r="52" spans="19:26" x14ac:dyDescent="0.35">
      <c r="S52" s="12">
        <f t="shared" si="1"/>
        <v>452.54833995939066</v>
      </c>
      <c r="T52">
        <f t="shared" si="2"/>
        <v>5.9238439175444912E-2</v>
      </c>
      <c r="U52" s="18">
        <f t="shared" si="3"/>
        <v>3.5081665932037319E-3</v>
      </c>
      <c r="V52" s="19">
        <f t="shared" si="0"/>
        <v>-15.408095037170071</v>
      </c>
      <c r="Z52" s="28"/>
    </row>
    <row r="53" spans="19:26" x14ac:dyDescent="0.35">
      <c r="S53" s="12">
        <f t="shared" si="1"/>
        <v>493.50746413054134</v>
      </c>
      <c r="T53">
        <f t="shared" si="2"/>
        <v>6.4599975991843209E-2</v>
      </c>
      <c r="U53" s="18">
        <f t="shared" si="3"/>
        <v>4.1717058301361928E-3</v>
      </c>
      <c r="V53" s="19">
        <f t="shared" si="0"/>
        <v>-14.176624217750913</v>
      </c>
      <c r="Z53" s="28"/>
    </row>
    <row r="54" spans="19:26" x14ac:dyDescent="0.35">
      <c r="S54" s="12">
        <f t="shared" si="1"/>
        <v>538.17370576237761</v>
      </c>
      <c r="T54">
        <f t="shared" si="2"/>
        <v>7.0446773349095021E-2</v>
      </c>
      <c r="U54" s="18">
        <f t="shared" si="3"/>
        <v>4.9606958092482363E-3</v>
      </c>
      <c r="V54" s="19">
        <f t="shared" si="0"/>
        <v>-12.986094017580371</v>
      </c>
      <c r="Z54" s="28"/>
    </row>
    <row r="55" spans="19:26" x14ac:dyDescent="0.35">
      <c r="S55" s="12">
        <f t="shared" si="1"/>
        <v>586.88258765098988</v>
      </c>
      <c r="T55">
        <f t="shared" si="2"/>
        <v>7.6822751078504906E-2</v>
      </c>
      <c r="U55" s="18">
        <f t="shared" si="3"/>
        <v>5.8988331144610179E-3</v>
      </c>
      <c r="V55" s="19">
        <f t="shared" si="0"/>
        <v>-11.840837063606038</v>
      </c>
      <c r="Z55" s="28"/>
    </row>
    <row r="56" spans="19:26" x14ac:dyDescent="0.35">
      <c r="S56" s="12">
        <f t="shared" si="1"/>
        <v>640.00000000000034</v>
      </c>
      <c r="T56">
        <f t="shared" si="2"/>
        <v>8.3775804095727865E-2</v>
      </c>
      <c r="U56" s="18">
        <f t="shared" si="3"/>
        <v>7.0142815009913307E-3</v>
      </c>
      <c r="V56" s="19">
        <f t="shared" si="0"/>
        <v>-10.745125478759931</v>
      </c>
      <c r="Z56" s="28"/>
    </row>
    <row r="57" spans="19:26" x14ac:dyDescent="0.35">
      <c r="S57" s="12">
        <f t="shared" si="1"/>
        <v>697.92494890576529</v>
      </c>
      <c r="T57">
        <f t="shared" si="2"/>
        <v>9.1358162176640986E-2</v>
      </c>
      <c r="U57" s="18">
        <f t="shared" si="3"/>
        <v>8.3405103315877388E-3</v>
      </c>
      <c r="V57" s="19">
        <f t="shared" si="0"/>
        <v>-9.7030201248023218</v>
      </c>
      <c r="Z57" s="28"/>
    </row>
    <row r="58" spans="19:26" x14ac:dyDescent="0.35">
      <c r="S58" s="12">
        <f t="shared" si="1"/>
        <v>761.09255360174188</v>
      </c>
      <c r="T58">
        <f t="shared" si="2"/>
        <v>9.9626782295713673E-2</v>
      </c>
      <c r="U58" s="18">
        <f t="shared" si="3"/>
        <v>9.9172888441105677E-3</v>
      </c>
      <c r="V58" s="19">
        <f t="shared" si="0"/>
        <v>-8.7182044419744358</v>
      </c>
      <c r="Z58" s="28"/>
    </row>
    <row r="59" spans="19:26" x14ac:dyDescent="0.35">
      <c r="S59" s="12">
        <f t="shared" si="1"/>
        <v>829.97731497664665</v>
      </c>
      <c r="T59">
        <f t="shared" si="2"/>
        <v>0.10864377647403395</v>
      </c>
      <c r="U59" s="18">
        <f t="shared" si="3"/>
        <v>1.1791864574584964E-2</v>
      </c>
      <c r="V59" s="19">
        <f t="shared" si="0"/>
        <v>-7.7938145243463381</v>
      </c>
      <c r="Z59" s="28"/>
    </row>
    <row r="60" spans="19:26" x14ac:dyDescent="0.35">
      <c r="S60" s="12">
        <f t="shared" si="1"/>
        <v>905.09667991878132</v>
      </c>
      <c r="T60">
        <f t="shared" si="2"/>
        <v>0.11847687835088982</v>
      </c>
      <c r="U60" s="18">
        <f t="shared" si="3"/>
        <v>1.4020359139969256E-2</v>
      </c>
      <c r="V60" s="19">
        <f t="shared" si="0"/>
        <v>-6.9322800867440506</v>
      </c>
      <c r="Z60" s="28"/>
    </row>
    <row r="61" spans="19:26" x14ac:dyDescent="0.35">
      <c r="S61" s="12">
        <f t="shared" si="1"/>
        <v>987.01492826108267</v>
      </c>
      <c r="T61">
        <f t="shared" si="2"/>
        <v>0.12919995198368642</v>
      </c>
      <c r="U61" s="18">
        <f t="shared" si="3"/>
        <v>1.6669420191011579E-2</v>
      </c>
      <c r="V61" s="19">
        <f t="shared" si="0"/>
        <v>-6.135192196138842</v>
      </c>
      <c r="Z61" s="28"/>
    </row>
    <row r="62" spans="19:26" x14ac:dyDescent="0.35">
      <c r="S62" s="12">
        <f t="shared" si="1"/>
        <v>1076.3474115247552</v>
      </c>
      <c r="T62">
        <f t="shared" si="2"/>
        <v>0.14089354669819004</v>
      </c>
      <c r="U62" s="18">
        <f t="shared" si="3"/>
        <v>1.9818174734081057E-2</v>
      </c>
      <c r="V62" s="19">
        <f t="shared" si="0"/>
        <v>-5.4032123823765659</v>
      </c>
      <c r="Z62" s="28"/>
    </row>
    <row r="63" spans="19:26" x14ac:dyDescent="0.35">
      <c r="S63" s="12">
        <f t="shared" si="1"/>
        <v>1173.7651753019798</v>
      </c>
      <c r="T63">
        <f t="shared" si="2"/>
        <v>0.15364550215700981</v>
      </c>
      <c r="U63" s="18">
        <f t="shared" si="3"/>
        <v>2.3560536225731808E-2</v>
      </c>
      <c r="V63" s="19">
        <f t="shared" si="0"/>
        <v>-4.736033856477615</v>
      </c>
      <c r="Z63" s="28"/>
    </row>
    <row r="64" spans="19:26" x14ac:dyDescent="0.35">
      <c r="S64" s="12">
        <f t="shared" si="1"/>
        <v>1280.0000000000007</v>
      </c>
      <c r="T64">
        <f t="shared" si="2"/>
        <v>0.16755160819145573</v>
      </c>
      <c r="U64" s="18">
        <f t="shared" si="3"/>
        <v>2.8007925858990177E-2</v>
      </c>
      <c r="V64" s="19">
        <f t="shared" si="0"/>
        <v>-4.1323995759259056</v>
      </c>
      <c r="Z64" s="28"/>
    </row>
    <row r="65" spans="19:26" x14ac:dyDescent="0.35">
      <c r="S65" s="12">
        <f t="shared" si="1"/>
        <v>1395.8498978115306</v>
      </c>
      <c r="T65">
        <f t="shared" si="2"/>
        <v>0.18271632435328197</v>
      </c>
      <c r="U65" s="18">
        <f t="shared" si="3"/>
        <v>3.3292477213759629E-2</v>
      </c>
      <c r="V65" s="19">
        <f t="shared" si="0"/>
        <v>-3.5901749378352044</v>
      </c>
      <c r="Z65" s="28"/>
    </row>
    <row r="66" spans="19:26" x14ac:dyDescent="0.35">
      <c r="S66" s="12">
        <f t="shared" si="1"/>
        <v>1522.1851072034838</v>
      </c>
      <c r="T66">
        <f t="shared" si="2"/>
        <v>0.19925356459142735</v>
      </c>
      <c r="U66" s="18">
        <f t="shared" si="3"/>
        <v>3.9570802758424749E-2</v>
      </c>
      <c r="V66" s="19">
        <f t="shared" si="0"/>
        <v>-3.1064663793980323</v>
      </c>
      <c r="Z66" s="28"/>
    </row>
    <row r="67" spans="19:26" x14ac:dyDescent="0.35">
      <c r="S67" s="12">
        <f t="shared" si="1"/>
        <v>1659.9546299532933</v>
      </c>
      <c r="T67">
        <f t="shared" si="2"/>
        <v>0.2172875529480679</v>
      </c>
      <c r="U67" s="18">
        <f t="shared" si="3"/>
        <v>4.7028410228194505E-2</v>
      </c>
      <c r="V67" s="19">
        <f t="shared" si="0"/>
        <v>-2.6777724075671472</v>
      </c>
      <c r="Z67" s="28"/>
    </row>
    <row r="68" spans="19:26" x14ac:dyDescent="0.35">
      <c r="S68" s="12">
        <f t="shared" si="1"/>
        <v>1810.1933598375626</v>
      </c>
      <c r="T68">
        <f t="shared" si="2"/>
        <v>0.23695375670177965</v>
      </c>
      <c r="U68" s="18">
        <f t="shared" si="3"/>
        <v>5.588486608946331E-2</v>
      </c>
      <c r="V68" s="19">
        <f t="shared" si="0"/>
        <v>-2.3001513382572014</v>
      </c>
      <c r="Z68" s="28"/>
    </row>
    <row r="69" spans="19:26" x14ac:dyDescent="0.35">
      <c r="S69" s="12">
        <f t="shared" si="1"/>
        <v>1974.0298565221653</v>
      </c>
      <c r="T69">
        <f t="shared" si="2"/>
        <v>0.25839990396737283</v>
      </c>
      <c r="U69" s="18">
        <f t="shared" si="3"/>
        <v>6.6399811194541802E-2</v>
      </c>
      <c r="V69" s="19">
        <f t="shared" si="0"/>
        <v>-1.9693903884020507</v>
      </c>
      <c r="Z69" s="28"/>
    </row>
    <row r="70" spans="19:26" x14ac:dyDescent="0.35">
      <c r="S70" s="12">
        <f t="shared" si="1"/>
        <v>2152.6948230495104</v>
      </c>
      <c r="T70">
        <f t="shared" si="2"/>
        <v>0.28178709339638008</v>
      </c>
      <c r="U70" s="18">
        <f t="shared" si="3"/>
        <v>7.8879938886533649E-2</v>
      </c>
      <c r="V70" s="19">
        <f t="shared" si="0"/>
        <v>-1.6811632191585169</v>
      </c>
      <c r="Z70" s="28"/>
    </row>
    <row r="71" spans="19:26" x14ac:dyDescent="0.35">
      <c r="S71" s="12">
        <f t="shared" si="1"/>
        <v>2347.5303506039595</v>
      </c>
      <c r="T71">
        <f t="shared" si="2"/>
        <v>0.30729100431401962</v>
      </c>
      <c r="U71" s="18">
        <f t="shared" si="3"/>
        <v>9.3687046035683216E-2</v>
      </c>
      <c r="V71" s="19">
        <f t="shared" si="0"/>
        <v>-1.4311667169404068</v>
      </c>
      <c r="Z71" s="28"/>
    </row>
    <row r="72" spans="19:26" x14ac:dyDescent="0.35">
      <c r="S72" s="12">
        <f t="shared" si="1"/>
        <v>2560.0000000000014</v>
      </c>
      <c r="T72">
        <f t="shared" si="2"/>
        <v>0.33510321638291146</v>
      </c>
      <c r="U72" s="18">
        <f t="shared" si="3"/>
        <v>0.11124725952503801</v>
      </c>
      <c r="V72" s="19">
        <f t="shared" ref="V72:V96" si="4">10*LOG10(($B$15+$B$16+$B$17)^2 + ( $B$15*$B$17*U72 - ($B$16*($B$15+$B$17) + 4*$B$15*$B$17) )*U72 )  - 10*LOG10( (1+$Z$2+$Z$3)^2 + ( 1*$Z$3*U72 - ($Z$2*(1+$Z$3) + 4*1*$Z$3) )*U72)</f>
        <v>-1.2152318166299736</v>
      </c>
      <c r="Z72" s="28"/>
    </row>
    <row r="73" spans="19:26" x14ac:dyDescent="0.35">
      <c r="S73" s="12">
        <f t="shared" si="1"/>
        <v>2791.6997956230612</v>
      </c>
      <c r="T73">
        <f t="shared" si="2"/>
        <v>0.36543264870656395</v>
      </c>
      <c r="U73" s="18">
        <f t="shared" si="3"/>
        <v>0.1320615198160098</v>
      </c>
      <c r="V73" s="19">
        <f t="shared" si="4"/>
        <v>-1.0294067982298749</v>
      </c>
      <c r="Z73" s="28"/>
    </row>
    <row r="74" spans="19:26" x14ac:dyDescent="0.35">
      <c r="S74" s="12">
        <f t="shared" ref="S74:S96" si="5">S73*2^(1/8)</f>
        <v>3044.3702144069675</v>
      </c>
      <c r="T74">
        <f t="shared" ref="T74:T96" si="6">2*PI()*S74/$B$6</f>
        <v>0.39850712918285469</v>
      </c>
      <c r="U74" s="18">
        <f t="shared" ref="U74:U95" si="7">4*SIN(T74/2)^2</f>
        <v>0.15671736260275285</v>
      </c>
      <c r="V74" s="19">
        <f t="shared" si="4"/>
        <v>-0.87001429578515399</v>
      </c>
      <c r="Z74" s="28"/>
    </row>
    <row r="75" spans="19:26" x14ac:dyDescent="0.35">
      <c r="S75" s="12">
        <f t="shared" si="5"/>
        <v>3319.9092599065866</v>
      </c>
      <c r="T75">
        <f t="shared" si="6"/>
        <v>0.43457510589613579</v>
      </c>
      <c r="U75" s="18">
        <f t="shared" si="7"/>
        <v>0.18590196954418667</v>
      </c>
      <c r="V75" s="19">
        <f t="shared" si="4"/>
        <v>-0.73368510282792165</v>
      </c>
      <c r="Z75" s="28"/>
    </row>
    <row r="76" spans="19:26" x14ac:dyDescent="0.35">
      <c r="S76" s="12">
        <f t="shared" si="5"/>
        <v>3620.3867196751253</v>
      </c>
      <c r="T76">
        <f t="shared" si="6"/>
        <v>0.4739075134035593</v>
      </c>
      <c r="U76" s="18">
        <f t="shared" si="7"/>
        <v>0.22041634610001598</v>
      </c>
      <c r="V76" s="19">
        <f t="shared" si="4"/>
        <v>-0.61737281082204198</v>
      </c>
      <c r="Z76" s="28"/>
    </row>
    <row r="77" spans="19:26" x14ac:dyDescent="0.35">
      <c r="S77" s="12">
        <f t="shared" si="5"/>
        <v>3948.0597130443307</v>
      </c>
      <c r="T77">
        <f t="shared" si="6"/>
        <v>0.51679980793474567</v>
      </c>
      <c r="U77" s="18">
        <f t="shared" si="7"/>
        <v>0.26119030985149644</v>
      </c>
      <c r="V77" s="19">
        <f t="shared" si="4"/>
        <v>-0.51835356246108688</v>
      </c>
      <c r="Z77" s="28"/>
    </row>
    <row r="78" spans="19:26" x14ac:dyDescent="0.35">
      <c r="S78" s="12">
        <f t="shared" si="5"/>
        <v>4305.3896460990209</v>
      </c>
      <c r="T78">
        <f t="shared" si="6"/>
        <v>0.56357418679276017</v>
      </c>
      <c r="U78" s="18">
        <f t="shared" si="7"/>
        <v>0.30929771078739127</v>
      </c>
      <c r="V78" s="19">
        <f t="shared" si="4"/>
        <v>-0.43421496272938853</v>
      </c>
      <c r="Z78" s="28"/>
    </row>
    <row r="79" spans="19:26" x14ac:dyDescent="0.35">
      <c r="S79" s="12">
        <f t="shared" si="5"/>
        <v>4695.060701207919</v>
      </c>
      <c r="T79">
        <f t="shared" si="6"/>
        <v>0.61458200862803924</v>
      </c>
      <c r="U79" s="18">
        <f t="shared" si="7"/>
        <v>0.36597092154784067</v>
      </c>
      <c r="V79" s="19">
        <f t="shared" si="4"/>
        <v>-0.36283767224856867</v>
      </c>
      <c r="Z79" s="28"/>
    </row>
    <row r="80" spans="19:26" x14ac:dyDescent="0.35">
      <c r="S80" s="12">
        <f t="shared" si="5"/>
        <v>5120.0000000000027</v>
      </c>
      <c r="T80">
        <f t="shared" si="6"/>
        <v>0.67020643276582292</v>
      </c>
      <c r="U80" s="18">
        <f t="shared" si="7"/>
        <v>0.43261308534832082</v>
      </c>
      <c r="V80" s="19">
        <f t="shared" si="4"/>
        <v>-0.30237257039190268</v>
      </c>
      <c r="Z80" s="28"/>
    </row>
    <row r="81" spans="19:26" x14ac:dyDescent="0.35">
      <c r="S81" s="12">
        <f t="shared" si="5"/>
        <v>5583.3995912461223</v>
      </c>
      <c r="T81">
        <f t="shared" si="6"/>
        <v>0.73086529741312789</v>
      </c>
      <c r="U81" s="18">
        <f t="shared" si="7"/>
        <v>0.51080583424792492</v>
      </c>
      <c r="V81" s="19">
        <f t="shared" si="4"/>
        <v>-0.25121573053548207</v>
      </c>
      <c r="Z81" s="28"/>
    </row>
    <row r="82" spans="19:26" x14ac:dyDescent="0.35">
      <c r="S82" s="12">
        <f t="shared" si="5"/>
        <v>6088.7404288139351</v>
      </c>
      <c r="T82">
        <f t="shared" si="6"/>
        <v>0.79701425836570938</v>
      </c>
      <c r="U82" s="18">
        <f t="shared" si="7"/>
        <v>0.60230911866984871</v>
      </c>
      <c r="V82" s="19">
        <f t="shared" si="4"/>
        <v>-0.20798286264705101</v>
      </c>
      <c r="Z82" s="28"/>
    </row>
    <row r="83" spans="19:26" x14ac:dyDescent="0.35">
      <c r="S83" s="12">
        <f t="shared" si="5"/>
        <v>6639.8185198131732</v>
      </c>
      <c r="T83">
        <f t="shared" si="6"/>
        <v>0.86915021179227159</v>
      </c>
      <c r="U83" s="18">
        <f t="shared" si="7"/>
        <v>0.70904833589633898</v>
      </c>
      <c r="V83" s="19">
        <f t="shared" si="4"/>
        <v>-0.17148438118102849</v>
      </c>
      <c r="Z83" s="28"/>
    </row>
    <row r="84" spans="19:26" x14ac:dyDescent="0.35">
      <c r="S84" s="12">
        <f t="shared" si="5"/>
        <v>7240.7734393502506</v>
      </c>
      <c r="T84">
        <f t="shared" si="6"/>
        <v>0.9478150268071186</v>
      </c>
      <c r="U84" s="18">
        <f t="shared" si="7"/>
        <v>0.83308201877198185</v>
      </c>
      <c r="V84" s="19">
        <f t="shared" si="4"/>
        <v>-0.14070185792270751</v>
      </c>
      <c r="Z84" s="28"/>
    </row>
    <row r="85" spans="19:26" x14ac:dyDescent="0.35">
      <c r="S85" s="12">
        <f t="shared" si="5"/>
        <v>7896.1194260886614</v>
      </c>
      <c r="T85">
        <f t="shared" si="6"/>
        <v>1.0335996158694913</v>
      </c>
      <c r="U85" s="18">
        <f t="shared" si="7"/>
        <v>0.9765408614456651</v>
      </c>
      <c r="V85" s="19">
        <f t="shared" si="4"/>
        <v>-0.11476631525474934</v>
      </c>
      <c r="Z85" s="28"/>
    </row>
    <row r="86" spans="19:26" x14ac:dyDescent="0.35">
      <c r="S86" s="12">
        <f t="shared" si="5"/>
        <v>8610.7792921980417</v>
      </c>
      <c r="T86">
        <f t="shared" si="6"/>
        <v>1.1271483735855203</v>
      </c>
      <c r="U86" s="18">
        <f t="shared" si="7"/>
        <v>1.1415257692512444</v>
      </c>
      <c r="V86" s="19">
        <f t="shared" si="4"/>
        <v>-9.2938593727216884E-2</v>
      </c>
      <c r="Z86" s="28"/>
    </row>
    <row r="87" spans="19:26" x14ac:dyDescent="0.35">
      <c r="S87" s="12">
        <f t="shared" si="5"/>
        <v>9390.121402415838</v>
      </c>
      <c r="T87">
        <f t="shared" si="6"/>
        <v>1.2291640172560785</v>
      </c>
      <c r="U87" s="18">
        <f t="shared" si="7"/>
        <v>1.3299489707727872</v>
      </c>
      <c r="V87" s="19">
        <f t="shared" si="4"/>
        <v>-7.4591875043397815E-2</v>
      </c>
      <c r="Z87" s="28"/>
    </row>
    <row r="88" spans="19:26" x14ac:dyDescent="0.35">
      <c r="S88" s="12">
        <f t="shared" si="5"/>
        <v>10240.000000000005</v>
      </c>
      <c r="T88">
        <f t="shared" si="6"/>
        <v>1.3404128655316458</v>
      </c>
      <c r="U88" s="18">
        <f t="shared" si="7"/>
        <v>1.54329825977869</v>
      </c>
      <c r="V88" s="19">
        <f t="shared" si="4"/>
        <v>-5.9196344609824258E-2</v>
      </c>
      <c r="Z88" s="28"/>
    </row>
    <row r="89" spans="19:26" x14ac:dyDescent="0.35">
      <c r="S89" s="12">
        <f t="shared" si="5"/>
        <v>11166.799182492245</v>
      </c>
      <c r="T89">
        <f t="shared" si="6"/>
        <v>1.4617305948262558</v>
      </c>
      <c r="U89" s="18">
        <f t="shared" si="7"/>
        <v>1.7823007366899815</v>
      </c>
      <c r="V89" s="19">
        <f t="shared" si="4"/>
        <v>-4.6305926171855916E-2</v>
      </c>
      <c r="Z89" s="28"/>
    </row>
    <row r="90" spans="19:26" x14ac:dyDescent="0.35">
      <c r="S90" s="12">
        <f t="shared" si="5"/>
        <v>12177.48085762787</v>
      </c>
      <c r="T90">
        <f t="shared" si="6"/>
        <v>1.5940285167314188</v>
      </c>
      <c r="U90" s="18">
        <f t="shared" si="7"/>
        <v>2.0464602002465448</v>
      </c>
      <c r="V90" s="19">
        <f t="shared" si="4"/>
        <v>-3.5547008195120355E-2</v>
      </c>
      <c r="Z90" s="28"/>
    </row>
    <row r="91" spans="19:26" x14ac:dyDescent="0.35">
      <c r="S91" s="12">
        <f t="shared" si="5"/>
        <v>13279.637039626346</v>
      </c>
      <c r="T91">
        <f t="shared" si="6"/>
        <v>1.7383004235845432</v>
      </c>
      <c r="U91" s="18">
        <f t="shared" si="7"/>
        <v>2.3334438009479883</v>
      </c>
      <c r="V91" s="19">
        <f t="shared" si="4"/>
        <v>-2.6609106517710757E-2</v>
      </c>
      <c r="Z91" s="28"/>
    </row>
    <row r="92" spans="19:26" x14ac:dyDescent="0.35">
      <c r="S92" s="12">
        <f t="shared" si="5"/>
        <v>14481.546878700501</v>
      </c>
      <c r="T92">
        <f t="shared" si="6"/>
        <v>1.8956300536142372</v>
      </c>
      <c r="U92" s="18">
        <f t="shared" si="7"/>
        <v>2.6383024250867271</v>
      </c>
      <c r="V92" s="19">
        <f t="shared" si="4"/>
        <v>-1.9237477881685727E-2</v>
      </c>
      <c r="Z92" s="28"/>
    </row>
    <row r="93" spans="19:26" x14ac:dyDescent="0.35">
      <c r="S93" s="12">
        <f t="shared" si="5"/>
        <v>15792.238852177323</v>
      </c>
      <c r="T93">
        <f t="shared" si="6"/>
        <v>2.0671992317389827</v>
      </c>
      <c r="U93" s="18">
        <f t="shared" si="7"/>
        <v>2.952531391709619</v>
      </c>
      <c r="V93" s="19">
        <f t="shared" si="4"/>
        <v>-1.3227836753937794E-2</v>
      </c>
      <c r="Z93" s="28"/>
    </row>
    <row r="94" spans="19:26" x14ac:dyDescent="0.35">
      <c r="S94" s="12">
        <f t="shared" si="5"/>
        <v>17221.558584396083</v>
      </c>
      <c r="T94">
        <f t="shared" si="6"/>
        <v>2.2542967471710407</v>
      </c>
      <c r="U94" s="18">
        <f t="shared" si="7"/>
        <v>3.2630219951403325</v>
      </c>
      <c r="V94" s="19">
        <f t="shared" si="4"/>
        <v>-8.4235855411787242E-3</v>
      </c>
      <c r="Z94" s="28"/>
    </row>
    <row r="95" spans="19:26" x14ac:dyDescent="0.35">
      <c r="S95" s="12">
        <f t="shared" si="5"/>
        <v>18780.242804831676</v>
      </c>
      <c r="T95">
        <f t="shared" si="6"/>
        <v>2.458328034512157</v>
      </c>
      <c r="U95" s="18">
        <f t="shared" si="7"/>
        <v>3.5510316182315527</v>
      </c>
      <c r="V95" s="19">
        <f t="shared" si="4"/>
        <v>-4.7164623609052825E-3</v>
      </c>
      <c r="Z95" s="28"/>
    </row>
    <row r="96" spans="19:26" x14ac:dyDescent="0.35">
      <c r="S96" s="12">
        <f t="shared" si="5"/>
        <v>20480.000000000011</v>
      </c>
      <c r="T96">
        <f t="shared" si="6"/>
        <v>2.6808257310632917</v>
      </c>
      <c r="U96" s="18">
        <f>4*SIN(T96/2)^2</f>
        <v>3.7914235204788267</v>
      </c>
      <c r="V96" s="19">
        <f t="shared" si="4"/>
        <v>-2.0525076814053023E-3</v>
      </c>
      <c r="Z96" s="28"/>
    </row>
    <row r="97" spans="19:26" x14ac:dyDescent="0.35">
      <c r="S97" s="12"/>
      <c r="U97" s="18"/>
      <c r="V97" s="19"/>
      <c r="Z97" s="28"/>
    </row>
    <row r="98" spans="19:26" x14ac:dyDescent="0.35">
      <c r="S98" s="12"/>
      <c r="U98" s="18"/>
      <c r="V98" s="19"/>
      <c r="Z98" s="28"/>
    </row>
    <row r="99" spans="19:26" x14ac:dyDescent="0.35">
      <c r="S99" s="12"/>
      <c r="U99" s="18"/>
      <c r="V99" s="19"/>
      <c r="Z99" s="28"/>
    </row>
    <row r="100" spans="19:26" x14ac:dyDescent="0.35">
      <c r="S100" s="12"/>
      <c r="U100" s="18"/>
      <c r="V100" s="19"/>
      <c r="Z100" s="28"/>
    </row>
    <row r="101" spans="19:26" x14ac:dyDescent="0.35">
      <c r="S101" s="12"/>
      <c r="U101" s="18"/>
      <c r="V101" s="19"/>
      <c r="Z101" s="28"/>
    </row>
    <row r="102" spans="19:26" x14ac:dyDescent="0.35">
      <c r="S102" s="12"/>
      <c r="U102" s="18"/>
      <c r="V102" s="19"/>
      <c r="Z102" s="28"/>
    </row>
    <row r="103" spans="19:26" x14ac:dyDescent="0.35">
      <c r="S103" s="12"/>
      <c r="U103" s="18"/>
      <c r="V103" s="19"/>
      <c r="Z103" s="28"/>
    </row>
    <row r="104" spans="19:26" x14ac:dyDescent="0.35">
      <c r="S104" s="12"/>
      <c r="U104" s="18"/>
      <c r="V104" s="19"/>
      <c r="Z104" s="28"/>
    </row>
    <row r="105" spans="19:26" x14ac:dyDescent="0.35">
      <c r="S105" s="12"/>
      <c r="U105" s="18"/>
      <c r="V105" s="19"/>
      <c r="Z105" s="28"/>
    </row>
    <row r="106" spans="19:26" x14ac:dyDescent="0.35">
      <c r="S106" s="12"/>
      <c r="U106" s="18"/>
      <c r="V106" s="19"/>
      <c r="Z106" s="28"/>
    </row>
    <row r="107" spans="19:26" x14ac:dyDescent="0.35">
      <c r="S107" s="12"/>
      <c r="U107" s="18"/>
      <c r="V107" s="19"/>
      <c r="Z107" s="28"/>
    </row>
    <row r="108" spans="19:26" x14ac:dyDescent="0.35">
      <c r="S108" s="12"/>
      <c r="U108" s="18"/>
      <c r="V108" s="19"/>
      <c r="Z108" s="28"/>
    </row>
    <row r="109" spans="19:26" x14ac:dyDescent="0.35">
      <c r="S109" s="12"/>
      <c r="U109" s="18"/>
      <c r="V109" s="19"/>
      <c r="Z109" s="28"/>
    </row>
    <row r="110" spans="19:26" x14ac:dyDescent="0.35">
      <c r="S110" s="12"/>
      <c r="U110" s="18"/>
      <c r="V110" s="19"/>
      <c r="Z110" s="28"/>
    </row>
    <row r="111" spans="19:26" x14ac:dyDescent="0.35">
      <c r="S111" s="12"/>
      <c r="U111" s="18"/>
      <c r="V111" s="19"/>
      <c r="Z111" s="28"/>
    </row>
    <row r="112" spans="19:26" x14ac:dyDescent="0.35">
      <c r="S112" s="12"/>
      <c r="U112" s="18"/>
      <c r="V112" s="19"/>
      <c r="Z112" s="28"/>
    </row>
    <row r="113" spans="19:26" x14ac:dyDescent="0.35">
      <c r="S113" s="12"/>
      <c r="U113" s="18"/>
      <c r="V113" s="19"/>
      <c r="Z113" s="28"/>
    </row>
    <row r="114" spans="19:26" x14ac:dyDescent="0.35">
      <c r="S114" s="12"/>
      <c r="U114" s="18"/>
      <c r="V114" s="19"/>
      <c r="Z114" s="28"/>
    </row>
    <row r="115" spans="19:26" x14ac:dyDescent="0.35">
      <c r="S115" s="12"/>
      <c r="U115" s="18"/>
      <c r="V115" s="19"/>
      <c r="Z115" s="28"/>
    </row>
    <row r="116" spans="19:26" x14ac:dyDescent="0.35">
      <c r="S116" s="12"/>
      <c r="U116" s="18"/>
      <c r="V116" s="19"/>
      <c r="Z116" s="28"/>
    </row>
    <row r="117" spans="19:26" x14ac:dyDescent="0.35">
      <c r="S117" s="12"/>
      <c r="U117" s="18"/>
      <c r="V117" s="19"/>
      <c r="Z117" s="28"/>
    </row>
    <row r="118" spans="19:26" x14ac:dyDescent="0.35">
      <c r="S118" s="12"/>
      <c r="U118" s="18"/>
      <c r="V118" s="19"/>
      <c r="Z118" s="28"/>
    </row>
    <row r="119" spans="19:26" x14ac:dyDescent="0.35">
      <c r="S119" s="12"/>
      <c r="U119" s="18"/>
      <c r="V119" s="19"/>
      <c r="Z119" s="28"/>
    </row>
    <row r="120" spans="19:26" x14ac:dyDescent="0.35">
      <c r="S120" s="12"/>
      <c r="U120" s="18"/>
      <c r="V120" s="19"/>
      <c r="Z120" s="28"/>
    </row>
    <row r="121" spans="19:26" x14ac:dyDescent="0.35">
      <c r="S121" s="12"/>
      <c r="U121" s="18"/>
      <c r="V121" s="19"/>
      <c r="Z121" s="28"/>
    </row>
    <row r="122" spans="19:26" x14ac:dyDescent="0.35">
      <c r="S122" s="12"/>
      <c r="U122" s="18"/>
      <c r="V122" s="19"/>
      <c r="Z122" s="28"/>
    </row>
    <row r="123" spans="19:26" x14ac:dyDescent="0.35">
      <c r="S123" s="12"/>
      <c r="U123" s="18"/>
      <c r="V123" s="19"/>
      <c r="Z123" s="28"/>
    </row>
    <row r="124" spans="19:26" x14ac:dyDescent="0.35">
      <c r="S124" s="12"/>
      <c r="U124" s="18"/>
      <c r="V124" s="19"/>
      <c r="Z124" s="28"/>
    </row>
    <row r="125" spans="19:26" x14ac:dyDescent="0.35">
      <c r="S125" s="12"/>
      <c r="U125" s="18"/>
      <c r="V125" s="19"/>
      <c r="Z125" s="28"/>
    </row>
    <row r="126" spans="19:26" x14ac:dyDescent="0.35">
      <c r="S126" s="12"/>
      <c r="U126" s="18"/>
      <c r="V126" s="19"/>
      <c r="Z126" s="28"/>
    </row>
    <row r="127" spans="19:26" x14ac:dyDescent="0.35">
      <c r="S127" s="12"/>
      <c r="U127" s="18"/>
      <c r="V127" s="19"/>
      <c r="Z127" s="28"/>
    </row>
    <row r="128" spans="19:26" x14ac:dyDescent="0.35">
      <c r="S128" s="12"/>
      <c r="U128" s="18"/>
      <c r="V128" s="19"/>
      <c r="Z128" s="28"/>
    </row>
    <row r="129" spans="19:26" x14ac:dyDescent="0.35">
      <c r="S129" s="12"/>
      <c r="U129" s="18"/>
      <c r="V129" s="19"/>
      <c r="Z129" s="28"/>
    </row>
    <row r="130" spans="19:26" x14ac:dyDescent="0.35">
      <c r="S130" s="12"/>
      <c r="U130" s="18"/>
      <c r="V130" s="19"/>
      <c r="Z130" s="28"/>
    </row>
    <row r="131" spans="19:26" x14ac:dyDescent="0.35">
      <c r="S131" s="12"/>
      <c r="U131" s="18"/>
      <c r="V131" s="19"/>
      <c r="Z131" s="28"/>
    </row>
    <row r="132" spans="19:26" x14ac:dyDescent="0.35">
      <c r="S132" s="12"/>
      <c r="U132" s="18"/>
      <c r="V132" s="19"/>
      <c r="Z132" s="28"/>
    </row>
    <row r="133" spans="19:26" x14ac:dyDescent="0.35">
      <c r="S133" s="12"/>
      <c r="U133" s="18"/>
      <c r="V133" s="19"/>
      <c r="Z133" s="28"/>
    </row>
    <row r="134" spans="19:26" x14ac:dyDescent="0.35">
      <c r="S134" s="12"/>
      <c r="U134" s="18"/>
      <c r="V134" s="19"/>
      <c r="Z134" s="28"/>
    </row>
    <row r="135" spans="19:26" x14ac:dyDescent="0.35">
      <c r="S135" s="12"/>
      <c r="U135" s="18"/>
      <c r="V135" s="19"/>
      <c r="Z135" s="28"/>
    </row>
    <row r="136" spans="19:26" x14ac:dyDescent="0.35">
      <c r="S136" s="12"/>
      <c r="U136" s="18"/>
      <c r="V136" s="19"/>
      <c r="Z136" s="28"/>
    </row>
    <row r="137" spans="19:26" x14ac:dyDescent="0.35">
      <c r="S137" s="12"/>
      <c r="U137" s="18"/>
      <c r="V137" s="19"/>
      <c r="Z137" s="28"/>
    </row>
    <row r="138" spans="19:26" x14ac:dyDescent="0.35">
      <c r="S138" s="12"/>
      <c r="U138" s="18"/>
      <c r="V138" s="19"/>
      <c r="Z138" s="28"/>
    </row>
    <row r="139" spans="19:26" x14ac:dyDescent="0.35">
      <c r="S139" s="12"/>
      <c r="U139" s="18"/>
      <c r="V139" s="19"/>
      <c r="Z139" s="28"/>
    </row>
    <row r="140" spans="19:26" x14ac:dyDescent="0.35">
      <c r="S140" s="12"/>
      <c r="U140" s="18"/>
      <c r="V140" s="19"/>
      <c r="Z140" s="28"/>
    </row>
    <row r="141" spans="19:26" x14ac:dyDescent="0.35">
      <c r="S141" s="12"/>
      <c r="U141" s="18"/>
      <c r="V141" s="19"/>
      <c r="Z141" s="28"/>
    </row>
    <row r="142" spans="19:26" x14ac:dyDescent="0.35">
      <c r="S142" s="12"/>
      <c r="U142" s="18"/>
      <c r="V142" s="19"/>
      <c r="Z142" s="28"/>
    </row>
    <row r="143" spans="19:26" x14ac:dyDescent="0.35">
      <c r="S143" s="12"/>
      <c r="U143" s="18"/>
      <c r="V143" s="19"/>
      <c r="Z143" s="28"/>
    </row>
    <row r="144" spans="19:26" x14ac:dyDescent="0.35">
      <c r="S144" s="12"/>
      <c r="U144" s="18"/>
      <c r="V144" s="19"/>
      <c r="Z144" s="28"/>
    </row>
    <row r="145" spans="19:26" x14ac:dyDescent="0.35">
      <c r="S145" s="12"/>
      <c r="U145" s="18"/>
      <c r="V145" s="19"/>
      <c r="Z145" s="28"/>
    </row>
    <row r="146" spans="19:26" x14ac:dyDescent="0.35">
      <c r="S146" s="12"/>
      <c r="U146" s="18"/>
      <c r="V146" s="19"/>
      <c r="Z146" s="28"/>
    </row>
    <row r="147" spans="19:26" x14ac:dyDescent="0.35">
      <c r="S147" s="12"/>
      <c r="U147" s="18"/>
      <c r="V147" s="19"/>
      <c r="Z147" s="28"/>
    </row>
    <row r="148" spans="19:26" x14ac:dyDescent="0.35">
      <c r="S148" s="12"/>
      <c r="U148" s="18"/>
      <c r="V148" s="19"/>
      <c r="Z148" s="28"/>
    </row>
    <row r="149" spans="19:26" x14ac:dyDescent="0.35">
      <c r="S149" s="12"/>
      <c r="U149" s="18"/>
      <c r="V149" s="19"/>
      <c r="Z149" s="28"/>
    </row>
    <row r="150" spans="19:26" x14ac:dyDescent="0.35">
      <c r="S150" s="12"/>
      <c r="U150" s="18"/>
      <c r="V150" s="19"/>
      <c r="Z150" s="28"/>
    </row>
    <row r="151" spans="19:26" x14ac:dyDescent="0.35">
      <c r="S151" s="12"/>
      <c r="U151" s="18"/>
      <c r="V151" s="19"/>
      <c r="Z151" s="28"/>
    </row>
    <row r="152" spans="19:26" x14ac:dyDescent="0.35">
      <c r="S152" s="12"/>
      <c r="U152" s="18"/>
      <c r="V152" s="19"/>
      <c r="Z152" s="28"/>
    </row>
    <row r="153" spans="19:26" x14ac:dyDescent="0.35">
      <c r="S153" s="12"/>
      <c r="U153" s="18"/>
      <c r="V153" s="19"/>
      <c r="Z153" s="28"/>
    </row>
    <row r="154" spans="19:26" x14ac:dyDescent="0.35">
      <c r="S154" s="12"/>
      <c r="U154" s="18"/>
      <c r="V154" s="19"/>
      <c r="Z154" s="28"/>
    </row>
    <row r="155" spans="19:26" x14ac:dyDescent="0.35">
      <c r="S155" s="12"/>
      <c r="U155" s="18"/>
      <c r="V155" s="19"/>
      <c r="Z155" s="28"/>
    </row>
    <row r="156" spans="19:26" x14ac:dyDescent="0.35">
      <c r="S156" s="12"/>
      <c r="U156" s="18"/>
      <c r="V156" s="19"/>
      <c r="Z156" s="28"/>
    </row>
    <row r="157" spans="19:26" x14ac:dyDescent="0.35">
      <c r="S157" s="12"/>
      <c r="U157" s="18"/>
      <c r="V157" s="19"/>
      <c r="Z157" s="28"/>
    </row>
    <row r="158" spans="19:26" x14ac:dyDescent="0.35">
      <c r="S158" s="12"/>
      <c r="U158" s="18"/>
      <c r="V158" s="19"/>
      <c r="Z158" s="28"/>
    </row>
    <row r="159" spans="19:26" x14ac:dyDescent="0.35">
      <c r="S159" s="12"/>
      <c r="U159" s="18"/>
      <c r="V159" s="19"/>
      <c r="Z159" s="28"/>
    </row>
    <row r="160" spans="19:26" x14ac:dyDescent="0.35">
      <c r="S160" s="12"/>
      <c r="U160" s="18"/>
      <c r="V160" s="19"/>
      <c r="Z160" s="28"/>
    </row>
    <row r="161" spans="19:26" x14ac:dyDescent="0.35">
      <c r="S161" s="12"/>
      <c r="U161" s="18"/>
      <c r="V161" s="19"/>
      <c r="Z161" s="28"/>
    </row>
    <row r="162" spans="19:26" x14ac:dyDescent="0.35">
      <c r="S162" s="12"/>
      <c r="U162" s="18"/>
      <c r="V162" s="19"/>
      <c r="Z162" s="28"/>
    </row>
    <row r="163" spans="19:26" x14ac:dyDescent="0.35">
      <c r="S163" s="12"/>
      <c r="U163" s="18"/>
      <c r="V163" s="19"/>
      <c r="Z163" s="28"/>
    </row>
    <row r="164" spans="19:26" x14ac:dyDescent="0.35">
      <c r="S164" s="12"/>
      <c r="U164" s="18"/>
      <c r="V164" s="19"/>
      <c r="Z164" s="28"/>
    </row>
    <row r="165" spans="19:26" x14ac:dyDescent="0.35">
      <c r="S165" s="12"/>
      <c r="U165" s="18"/>
      <c r="V165" s="19"/>
      <c r="Z165" s="28"/>
    </row>
    <row r="166" spans="19:26" x14ac:dyDescent="0.35">
      <c r="S166" s="12"/>
      <c r="U166" s="18"/>
      <c r="V166" s="19"/>
      <c r="Z166" s="28"/>
    </row>
    <row r="167" spans="19:26" x14ac:dyDescent="0.35">
      <c r="S167" s="12"/>
      <c r="U167" s="18"/>
      <c r="V167" s="19"/>
      <c r="Z167" s="28"/>
    </row>
    <row r="168" spans="19:26" x14ac:dyDescent="0.35">
      <c r="S168" s="12"/>
      <c r="U168" s="18"/>
      <c r="V168" s="19"/>
      <c r="Z168" s="28"/>
    </row>
    <row r="169" spans="19:26" x14ac:dyDescent="0.35">
      <c r="S169" s="12"/>
      <c r="U169" s="18"/>
      <c r="V169" s="19"/>
      <c r="Z169" s="28"/>
    </row>
    <row r="170" spans="19:26" x14ac:dyDescent="0.35">
      <c r="S170" s="12"/>
      <c r="U170" s="18"/>
      <c r="V170" s="19"/>
      <c r="Z170" s="28"/>
    </row>
    <row r="171" spans="19:26" x14ac:dyDescent="0.35">
      <c r="S171" s="12"/>
      <c r="U171" s="18"/>
      <c r="V171" s="19"/>
      <c r="Z171" s="28"/>
    </row>
    <row r="172" spans="19:26" x14ac:dyDescent="0.35">
      <c r="S172" s="12"/>
      <c r="U172" s="18"/>
      <c r="V172" s="19"/>
      <c r="Z172" s="28"/>
    </row>
    <row r="173" spans="19:26" x14ac:dyDescent="0.35">
      <c r="S173" s="12"/>
      <c r="U173" s="18"/>
      <c r="V173" s="19"/>
      <c r="Z173" s="28"/>
    </row>
    <row r="174" spans="19:26" x14ac:dyDescent="0.35">
      <c r="S174" s="12"/>
      <c r="U174" s="18"/>
      <c r="V174" s="19"/>
      <c r="Z174" s="28"/>
    </row>
    <row r="175" spans="19:26" x14ac:dyDescent="0.35">
      <c r="S175" s="12"/>
      <c r="U175" s="18"/>
      <c r="V175" s="19"/>
      <c r="Z175" s="28"/>
    </row>
    <row r="176" spans="19:26" x14ac:dyDescent="0.35">
      <c r="S176" s="12"/>
      <c r="U176" s="18"/>
      <c r="V176" s="19"/>
      <c r="Z176" s="28"/>
    </row>
    <row r="177" spans="19:26" x14ac:dyDescent="0.35">
      <c r="S177" s="12"/>
      <c r="U177" s="18"/>
      <c r="V177" s="19"/>
      <c r="Z177" s="28"/>
    </row>
    <row r="178" spans="19:26" x14ac:dyDescent="0.35">
      <c r="S178" s="12"/>
      <c r="U178" s="18"/>
      <c r="V178" s="19"/>
      <c r="Z178" s="28"/>
    </row>
    <row r="179" spans="19:26" x14ac:dyDescent="0.35">
      <c r="S179" s="12"/>
      <c r="U179" s="18"/>
      <c r="V179" s="19"/>
      <c r="Z179" s="28"/>
    </row>
    <row r="180" spans="19:26" x14ac:dyDescent="0.35">
      <c r="S180" s="12"/>
      <c r="U180" s="18"/>
      <c r="V180" s="19"/>
      <c r="Z180" s="28"/>
    </row>
    <row r="181" spans="19:26" x14ac:dyDescent="0.35">
      <c r="S181" s="12"/>
      <c r="U181" s="18"/>
      <c r="V181" s="19"/>
      <c r="Z181" s="28"/>
    </row>
    <row r="182" spans="19:26" x14ac:dyDescent="0.35">
      <c r="S182" s="12"/>
      <c r="U182" s="18"/>
      <c r="V182" s="19"/>
      <c r="Z182" s="28"/>
    </row>
    <row r="183" spans="19:26" x14ac:dyDescent="0.35">
      <c r="S183" s="12"/>
      <c r="U183" s="18"/>
      <c r="V183" s="19"/>
      <c r="Z183" s="28"/>
    </row>
    <row r="184" spans="19:26" x14ac:dyDescent="0.35">
      <c r="S184" s="12"/>
      <c r="U184" s="18"/>
      <c r="V184" s="19"/>
      <c r="Z184" s="28"/>
    </row>
    <row r="185" spans="19:26" x14ac:dyDescent="0.35">
      <c r="S185" s="12"/>
      <c r="U185" s="18"/>
      <c r="V185" s="19"/>
      <c r="Z185" s="28"/>
    </row>
    <row r="186" spans="19:26" x14ac:dyDescent="0.35">
      <c r="S186" s="12"/>
      <c r="U186" s="18"/>
      <c r="V186" s="19"/>
      <c r="Z186" s="28"/>
    </row>
    <row r="187" spans="19:26" x14ac:dyDescent="0.35">
      <c r="S187" s="12"/>
      <c r="U187" s="18"/>
      <c r="V187" s="19"/>
      <c r="Z187" s="28"/>
    </row>
    <row r="188" spans="19:26" x14ac:dyDescent="0.35">
      <c r="S188" s="12"/>
      <c r="U188" s="18"/>
      <c r="V188" s="19"/>
      <c r="Z188" s="28"/>
    </row>
    <row r="189" spans="19:26" x14ac:dyDescent="0.35">
      <c r="S189" s="12"/>
      <c r="U189" s="18"/>
      <c r="V189" s="19"/>
      <c r="Z189" s="28"/>
    </row>
    <row r="190" spans="19:26" x14ac:dyDescent="0.35">
      <c r="S190" s="12"/>
      <c r="U190" s="18"/>
      <c r="V190" s="19"/>
      <c r="Z190" s="28"/>
    </row>
    <row r="191" spans="19:26" x14ac:dyDescent="0.35">
      <c r="S191" s="12"/>
      <c r="U191" s="18"/>
      <c r="V191" s="19"/>
      <c r="Z191" s="28"/>
    </row>
    <row r="192" spans="19:26" x14ac:dyDescent="0.35">
      <c r="S192" s="12"/>
      <c r="U192" s="18"/>
      <c r="V192" s="19"/>
      <c r="Z192" s="28"/>
    </row>
    <row r="193" spans="19:26" x14ac:dyDescent="0.35">
      <c r="S193" s="12"/>
      <c r="U193" s="18"/>
      <c r="V193" s="19"/>
      <c r="Z193" s="28"/>
    </row>
    <row r="194" spans="19:26" x14ac:dyDescent="0.35">
      <c r="S194" s="12"/>
      <c r="U194" s="18"/>
      <c r="V194" s="19"/>
      <c r="Z194" s="28"/>
    </row>
    <row r="195" spans="19:26" x14ac:dyDescent="0.35">
      <c r="S195" s="12"/>
      <c r="U195" s="18"/>
      <c r="V195" s="19"/>
      <c r="Z195" s="28"/>
    </row>
    <row r="196" spans="19:26" x14ac:dyDescent="0.35">
      <c r="S196" s="12"/>
      <c r="U196" s="18"/>
      <c r="V196" s="19"/>
      <c r="Z196" s="28"/>
    </row>
    <row r="197" spans="19:26" x14ac:dyDescent="0.35">
      <c r="S197" s="12"/>
      <c r="U197" s="18"/>
      <c r="V197" s="19"/>
      <c r="Z197" s="28"/>
    </row>
    <row r="198" spans="19:26" x14ac:dyDescent="0.35">
      <c r="S198" s="12"/>
      <c r="U198" s="18"/>
      <c r="V198" s="19"/>
      <c r="Z198" s="28"/>
    </row>
    <row r="199" spans="19:26" x14ac:dyDescent="0.35">
      <c r="S199" s="12"/>
      <c r="U199" s="18"/>
      <c r="V199" s="19"/>
      <c r="Z199" s="28"/>
    </row>
    <row r="200" spans="19:26" x14ac:dyDescent="0.35">
      <c r="S200" s="12"/>
      <c r="U200" s="18"/>
      <c r="V200" s="19"/>
      <c r="Z200" s="28"/>
    </row>
    <row r="201" spans="19:26" x14ac:dyDescent="0.35">
      <c r="S201" s="12"/>
      <c r="U201" s="18"/>
      <c r="V201" s="19"/>
      <c r="Z201" s="28"/>
    </row>
    <row r="202" spans="19:26" x14ac:dyDescent="0.35">
      <c r="S202" s="12"/>
      <c r="U202" s="18"/>
      <c r="V202" s="19"/>
      <c r="Z202" s="28"/>
    </row>
    <row r="203" spans="19:26" x14ac:dyDescent="0.35">
      <c r="S203" s="12"/>
      <c r="U203" s="18"/>
      <c r="V203" s="19"/>
      <c r="Z203" s="28"/>
    </row>
    <row r="204" spans="19:26" x14ac:dyDescent="0.35">
      <c r="S204" s="12"/>
      <c r="U204" s="18"/>
      <c r="V204" s="19"/>
      <c r="Z204" s="28"/>
    </row>
    <row r="205" spans="19:26" x14ac:dyDescent="0.35">
      <c r="S205" s="12"/>
      <c r="U205" s="18"/>
      <c r="V205" s="19"/>
      <c r="Z205" s="28"/>
    </row>
    <row r="206" spans="19:26" x14ac:dyDescent="0.35">
      <c r="S206" s="12"/>
      <c r="U206" s="18"/>
      <c r="V206" s="19"/>
      <c r="Z206" s="28"/>
    </row>
    <row r="207" spans="19:26" x14ac:dyDescent="0.35">
      <c r="S207" s="12"/>
      <c r="U207" s="18"/>
      <c r="V207" s="19"/>
      <c r="Z207" s="28"/>
    </row>
    <row r="208" spans="19:26" x14ac:dyDescent="0.35">
      <c r="S208" s="12"/>
      <c r="U208" s="18"/>
      <c r="V208" s="19"/>
      <c r="Z208" s="28"/>
    </row>
    <row r="209" spans="19:26" x14ac:dyDescent="0.35">
      <c r="S209" s="12"/>
      <c r="U209" s="18"/>
      <c r="V209" s="19"/>
      <c r="Z209" s="28"/>
    </row>
    <row r="210" spans="19:26" x14ac:dyDescent="0.35">
      <c r="S210" s="12"/>
      <c r="U210" s="18"/>
      <c r="V210" s="19"/>
      <c r="Z210" s="28"/>
    </row>
    <row r="211" spans="19:26" x14ac:dyDescent="0.35">
      <c r="S211" s="12"/>
      <c r="U211" s="18"/>
      <c r="V211" s="19"/>
      <c r="Z211" s="28"/>
    </row>
    <row r="212" spans="19:26" x14ac:dyDescent="0.35">
      <c r="S212" s="12"/>
      <c r="U212" s="18"/>
      <c r="V212" s="19"/>
      <c r="Z212" s="28"/>
    </row>
    <row r="213" spans="19:26" x14ac:dyDescent="0.35">
      <c r="S213" s="12"/>
      <c r="U213" s="18"/>
      <c r="V213" s="19"/>
      <c r="Z213" s="28"/>
    </row>
    <row r="214" spans="19:26" x14ac:dyDescent="0.35">
      <c r="S214" s="12"/>
      <c r="U214" s="18"/>
      <c r="V214" s="19"/>
      <c r="Z214" s="28"/>
    </row>
    <row r="215" spans="19:26" x14ac:dyDescent="0.35">
      <c r="S215" s="12"/>
      <c r="U215" s="18"/>
      <c r="V215" s="19"/>
      <c r="Z215" s="28"/>
    </row>
    <row r="216" spans="19:26" x14ac:dyDescent="0.35">
      <c r="S216" s="12"/>
      <c r="U216" s="18"/>
      <c r="V216" s="19"/>
      <c r="Z216" s="28"/>
    </row>
    <row r="217" spans="19:26" x14ac:dyDescent="0.35">
      <c r="S217" s="12"/>
      <c r="U217" s="18"/>
      <c r="V217" s="19"/>
      <c r="Z217" s="28"/>
    </row>
    <row r="218" spans="19:26" x14ac:dyDescent="0.35">
      <c r="S218" s="12"/>
      <c r="U218" s="18"/>
      <c r="V218" s="19"/>
      <c r="Z218" s="28"/>
    </row>
    <row r="219" spans="19:26" x14ac:dyDescent="0.35">
      <c r="S219" s="12"/>
      <c r="U219" s="18"/>
      <c r="V219" s="19"/>
      <c r="Z219" s="28"/>
    </row>
    <row r="220" spans="19:26" x14ac:dyDescent="0.35">
      <c r="S220" s="12"/>
      <c r="U220" s="18"/>
      <c r="V220" s="19"/>
      <c r="Z220" s="28"/>
    </row>
    <row r="221" spans="19:26" x14ac:dyDescent="0.35">
      <c r="S221" s="12"/>
      <c r="U221" s="18"/>
      <c r="V221" s="19"/>
      <c r="Z221" s="28"/>
    </row>
    <row r="222" spans="19:26" x14ac:dyDescent="0.35">
      <c r="S222" s="12"/>
      <c r="U222" s="18"/>
      <c r="V222" s="19"/>
      <c r="Z222" s="28"/>
    </row>
    <row r="223" spans="19:26" x14ac:dyDescent="0.35">
      <c r="S223" s="12"/>
      <c r="U223" s="18"/>
      <c r="V223" s="19"/>
      <c r="Z223" s="28"/>
    </row>
    <row r="224" spans="19:26" x14ac:dyDescent="0.35">
      <c r="S224" s="12"/>
      <c r="U224" s="18"/>
      <c r="V224" s="19"/>
      <c r="Z224" s="28"/>
    </row>
    <row r="225" spans="19:26" x14ac:dyDescent="0.35">
      <c r="S225" s="12"/>
      <c r="U225" s="18"/>
      <c r="V225" s="19"/>
      <c r="Z225" s="28"/>
    </row>
    <row r="226" spans="19:26" x14ac:dyDescent="0.35">
      <c r="S226" s="12"/>
      <c r="U226" s="18"/>
      <c r="V226" s="19"/>
      <c r="Z226" s="28"/>
    </row>
    <row r="227" spans="19:26" x14ac:dyDescent="0.35">
      <c r="S227" s="12"/>
      <c r="U227" s="18"/>
      <c r="V227" s="19"/>
      <c r="Z227" s="28"/>
    </row>
    <row r="228" spans="19:26" x14ac:dyDescent="0.35">
      <c r="S228" s="12"/>
      <c r="U228" s="18"/>
      <c r="V228" s="19"/>
      <c r="Z228" s="28"/>
    </row>
    <row r="229" spans="19:26" x14ac:dyDescent="0.35">
      <c r="S229" s="12"/>
      <c r="U229" s="18"/>
      <c r="V229" s="19"/>
      <c r="Z229" s="28"/>
    </row>
    <row r="230" spans="19:26" x14ac:dyDescent="0.35">
      <c r="S230" s="12"/>
      <c r="U230" s="18"/>
      <c r="V230" s="19"/>
      <c r="Z230" s="28"/>
    </row>
    <row r="231" spans="19:26" x14ac:dyDescent="0.35">
      <c r="S231" s="12"/>
      <c r="U231" s="18"/>
      <c r="V231" s="19"/>
      <c r="Z231" s="28"/>
    </row>
    <row r="232" spans="19:26" x14ac:dyDescent="0.35">
      <c r="S232" s="12"/>
      <c r="U232" s="18"/>
      <c r="V232" s="19"/>
      <c r="Z232" s="28"/>
    </row>
    <row r="233" spans="19:26" x14ac:dyDescent="0.35">
      <c r="S233" s="12"/>
      <c r="U233" s="18"/>
      <c r="V233" s="19"/>
      <c r="Z233" s="28"/>
    </row>
    <row r="234" spans="19:26" x14ac:dyDescent="0.35">
      <c r="S234" s="12"/>
      <c r="U234" s="18"/>
      <c r="V234" s="19"/>
      <c r="Z234" s="28"/>
    </row>
    <row r="235" spans="19:26" x14ac:dyDescent="0.35">
      <c r="S235" s="12"/>
      <c r="U235" s="18"/>
      <c r="V235" s="19"/>
      <c r="Z235" s="28"/>
    </row>
    <row r="236" spans="19:26" x14ac:dyDescent="0.35">
      <c r="S236" s="12"/>
      <c r="U236" s="18"/>
      <c r="V236" s="19"/>
      <c r="Z236" s="28"/>
    </row>
    <row r="237" spans="19:26" x14ac:dyDescent="0.35">
      <c r="S237" s="12"/>
      <c r="U237" s="18"/>
      <c r="V237" s="19"/>
      <c r="Z237" s="28"/>
    </row>
    <row r="238" spans="19:26" x14ac:dyDescent="0.35">
      <c r="S238" s="12"/>
      <c r="U238" s="18"/>
      <c r="V238" s="19"/>
      <c r="Z238" s="28"/>
    </row>
    <row r="239" spans="19:26" x14ac:dyDescent="0.35">
      <c r="S239" s="12"/>
      <c r="U239" s="18"/>
      <c r="V239" s="19"/>
      <c r="Z239" s="28"/>
    </row>
    <row r="240" spans="19:26" x14ac:dyDescent="0.35">
      <c r="S240" s="12"/>
      <c r="U240" s="18"/>
      <c r="V240" s="19"/>
      <c r="Z240" s="28"/>
    </row>
    <row r="241" spans="19:26" x14ac:dyDescent="0.35">
      <c r="S241" s="12"/>
      <c r="U241" s="18"/>
      <c r="V241" s="19"/>
      <c r="Z241" s="28"/>
    </row>
    <row r="242" spans="19:26" x14ac:dyDescent="0.35">
      <c r="S242" s="12"/>
      <c r="U242" s="18"/>
      <c r="V242" s="19"/>
      <c r="Z242" s="28"/>
    </row>
    <row r="243" spans="19:26" x14ac:dyDescent="0.35">
      <c r="S243" s="12"/>
      <c r="U243" s="18"/>
      <c r="V243" s="19"/>
      <c r="Z243" s="28"/>
    </row>
    <row r="244" spans="19:26" x14ac:dyDescent="0.35">
      <c r="S244" s="12"/>
      <c r="U244" s="18"/>
      <c r="V244" s="19"/>
      <c r="Z244" s="28"/>
    </row>
    <row r="245" spans="19:26" x14ac:dyDescent="0.35">
      <c r="S245" s="12"/>
      <c r="U245" s="18"/>
      <c r="V245" s="19"/>
      <c r="Z245" s="28"/>
    </row>
    <row r="246" spans="19:26" x14ac:dyDescent="0.35">
      <c r="S246" s="12"/>
      <c r="U246" s="18"/>
      <c r="V246" s="19"/>
      <c r="Z246" s="28"/>
    </row>
    <row r="247" spans="19:26" x14ac:dyDescent="0.35">
      <c r="S247" s="12"/>
      <c r="U247" s="18"/>
      <c r="V247" s="19"/>
      <c r="Z247" s="28"/>
    </row>
    <row r="248" spans="19:26" x14ac:dyDescent="0.35">
      <c r="S248" s="12"/>
      <c r="U248" s="18"/>
      <c r="V248" s="19"/>
      <c r="Z248" s="28"/>
    </row>
    <row r="249" spans="19:26" x14ac:dyDescent="0.35">
      <c r="S249" s="12"/>
      <c r="U249" s="18"/>
      <c r="V249" s="19"/>
      <c r="Z249" s="28"/>
    </row>
    <row r="250" spans="19:26" x14ac:dyDescent="0.35">
      <c r="S250" s="12"/>
      <c r="U250" s="18"/>
      <c r="V250" s="19"/>
      <c r="Z250" s="28"/>
    </row>
    <row r="251" spans="19:26" x14ac:dyDescent="0.35">
      <c r="S251" s="12"/>
      <c r="U251" s="18"/>
      <c r="V251" s="19"/>
      <c r="Z251" s="28"/>
    </row>
    <row r="252" spans="19:26" x14ac:dyDescent="0.35">
      <c r="S252" s="12"/>
      <c r="U252" s="18"/>
      <c r="V252" s="19"/>
      <c r="Z252" s="28"/>
    </row>
    <row r="253" spans="19:26" x14ac:dyDescent="0.35">
      <c r="S253" s="12"/>
      <c r="U253" s="18"/>
      <c r="V253" s="19"/>
      <c r="Z253" s="28"/>
    </row>
    <row r="254" spans="19:26" x14ac:dyDescent="0.35">
      <c r="S254" s="12"/>
      <c r="U254" s="18"/>
      <c r="V254" s="19"/>
      <c r="Z254" s="28"/>
    </row>
    <row r="255" spans="19:26" x14ac:dyDescent="0.35">
      <c r="S255" s="12"/>
      <c r="U255" s="18"/>
      <c r="V255" s="19"/>
      <c r="Z255" s="28"/>
    </row>
    <row r="256" spans="19:26" x14ac:dyDescent="0.35">
      <c r="S256" s="12"/>
      <c r="U256" s="18"/>
      <c r="V256" s="19"/>
      <c r="Z256" s="28"/>
    </row>
    <row r="257" spans="19:26" x14ac:dyDescent="0.35">
      <c r="S257" s="12"/>
      <c r="U257" s="18"/>
      <c r="V257" s="19"/>
      <c r="Z257" s="28"/>
    </row>
    <row r="258" spans="19:26" x14ac:dyDescent="0.35">
      <c r="S258" s="12"/>
      <c r="U258" s="18"/>
      <c r="V258" s="19"/>
      <c r="Z258" s="28"/>
    </row>
    <row r="259" spans="19:26" x14ac:dyDescent="0.35">
      <c r="S259" s="12"/>
      <c r="U259" s="18"/>
      <c r="V259" s="19"/>
      <c r="Z259" s="28"/>
    </row>
    <row r="260" spans="19:26" x14ac:dyDescent="0.35">
      <c r="S260" s="12"/>
      <c r="U260" s="18"/>
      <c r="V260" s="19"/>
      <c r="Z260" s="28"/>
    </row>
    <row r="261" spans="19:26" x14ac:dyDescent="0.35">
      <c r="S261" s="12"/>
      <c r="U261" s="18"/>
      <c r="V261" s="19"/>
      <c r="Z261" s="28"/>
    </row>
    <row r="262" spans="19:26" x14ac:dyDescent="0.35">
      <c r="S262" s="12"/>
      <c r="U262" s="18"/>
      <c r="V262" s="19"/>
      <c r="Z262" s="28"/>
    </row>
    <row r="263" spans="19:26" x14ac:dyDescent="0.35">
      <c r="S263" s="12"/>
      <c r="U263" s="18"/>
      <c r="V263" s="19"/>
      <c r="Z263" s="28"/>
    </row>
    <row r="264" spans="19:26" x14ac:dyDescent="0.35">
      <c r="S264" s="12"/>
      <c r="U264" s="18"/>
      <c r="V264" s="19"/>
      <c r="Z264" s="28"/>
    </row>
    <row r="265" spans="19:26" x14ac:dyDescent="0.35">
      <c r="S265" s="12"/>
      <c r="U265" s="18"/>
      <c r="V265" s="19"/>
      <c r="Z265" s="28"/>
    </row>
    <row r="266" spans="19:26" x14ac:dyDescent="0.35">
      <c r="S266" s="12"/>
      <c r="U266" s="18"/>
      <c r="V266" s="19"/>
      <c r="Z266" s="28"/>
    </row>
    <row r="267" spans="19:26" x14ac:dyDescent="0.35">
      <c r="S267" s="12"/>
      <c r="U267" s="18"/>
      <c r="V267" s="19"/>
      <c r="Z267" s="28"/>
    </row>
    <row r="268" spans="19:26" x14ac:dyDescent="0.35">
      <c r="S268" s="12"/>
      <c r="U268" s="18"/>
      <c r="V268" s="19"/>
      <c r="Z268" s="28"/>
    </row>
    <row r="269" spans="19:26" x14ac:dyDescent="0.35">
      <c r="S269" s="12"/>
      <c r="U269" s="18"/>
      <c r="V269" s="19"/>
      <c r="Z269" s="28"/>
    </row>
    <row r="270" spans="19:26" x14ac:dyDescent="0.35">
      <c r="S270" s="12"/>
      <c r="U270" s="18"/>
      <c r="V270" s="19"/>
      <c r="Z270" s="28"/>
    </row>
    <row r="271" spans="19:26" x14ac:dyDescent="0.35">
      <c r="S271" s="12"/>
      <c r="U271" s="18"/>
      <c r="V271" s="19"/>
      <c r="Z271" s="28"/>
    </row>
    <row r="272" spans="19:26" x14ac:dyDescent="0.35">
      <c r="S272" s="12"/>
      <c r="U272" s="18"/>
      <c r="V272" s="19"/>
      <c r="Z272" s="28"/>
    </row>
    <row r="273" spans="19:26" x14ac:dyDescent="0.35">
      <c r="S273" s="12"/>
      <c r="U273" s="18"/>
      <c r="V273" s="19"/>
      <c r="Z273" s="28"/>
    </row>
    <row r="274" spans="19:26" x14ac:dyDescent="0.35">
      <c r="S274" s="12"/>
      <c r="U274" s="18"/>
      <c r="V274" s="19"/>
      <c r="Z274" s="28"/>
    </row>
    <row r="275" spans="19:26" x14ac:dyDescent="0.35">
      <c r="S275" s="12"/>
      <c r="U275" s="18"/>
      <c r="V275" s="19"/>
      <c r="Z275" s="28"/>
    </row>
    <row r="276" spans="19:26" x14ac:dyDescent="0.35">
      <c r="S276" s="12"/>
      <c r="U276" s="18"/>
      <c r="V276" s="19"/>
      <c r="Z276" s="28"/>
    </row>
    <row r="277" spans="19:26" x14ac:dyDescent="0.35">
      <c r="S277" s="12"/>
      <c r="U277" s="18"/>
      <c r="V277" s="19"/>
      <c r="Z277" s="28"/>
    </row>
    <row r="278" spans="19:26" x14ac:dyDescent="0.35">
      <c r="S278" s="12"/>
      <c r="U278" s="18"/>
      <c r="V278" s="19"/>
      <c r="Z278" s="28"/>
    </row>
    <row r="279" spans="19:26" x14ac:dyDescent="0.35">
      <c r="S279" s="12"/>
      <c r="U279" s="18"/>
      <c r="V279" s="19"/>
      <c r="Z279" s="28"/>
    </row>
    <row r="280" spans="19:26" x14ac:dyDescent="0.35">
      <c r="S280" s="12"/>
      <c r="U280" s="18"/>
      <c r="V280" s="19"/>
      <c r="Z280" s="28"/>
    </row>
    <row r="281" spans="19:26" x14ac:dyDescent="0.35">
      <c r="S281" s="12"/>
      <c r="U281" s="18"/>
      <c r="V281" s="19"/>
      <c r="Z281" s="28"/>
    </row>
    <row r="282" spans="19:26" x14ac:dyDescent="0.35">
      <c r="S282" s="12"/>
      <c r="U282" s="18"/>
      <c r="V282" s="19"/>
      <c r="Z282" s="28"/>
    </row>
    <row r="283" spans="19:26" x14ac:dyDescent="0.35">
      <c r="S283" s="12"/>
      <c r="U283" s="18"/>
      <c r="V283" s="19"/>
      <c r="Z283" s="28"/>
    </row>
    <row r="284" spans="19:26" x14ac:dyDescent="0.35">
      <c r="S284" s="12"/>
      <c r="U284" s="18"/>
      <c r="V284" s="19"/>
      <c r="Z284" s="28"/>
    </row>
    <row r="285" spans="19:26" x14ac:dyDescent="0.35">
      <c r="S285" s="12"/>
      <c r="U285" s="18"/>
      <c r="V285" s="19"/>
      <c r="Z285" s="28"/>
    </row>
    <row r="286" spans="19:26" x14ac:dyDescent="0.35">
      <c r="S286" s="12"/>
      <c r="U286" s="18"/>
      <c r="V286" s="19"/>
      <c r="Z286" s="28"/>
    </row>
    <row r="287" spans="19:26" x14ac:dyDescent="0.35">
      <c r="S287" s="12"/>
      <c r="U287" s="18"/>
      <c r="V287" s="19"/>
      <c r="Z287" s="28"/>
    </row>
    <row r="288" spans="19:26" x14ac:dyDescent="0.35">
      <c r="S288" s="12"/>
      <c r="U288" s="18"/>
      <c r="V288" s="19"/>
      <c r="Z288" s="28"/>
    </row>
    <row r="289" spans="19:26" x14ac:dyDescent="0.35">
      <c r="S289" s="12"/>
      <c r="U289" s="18"/>
      <c r="V289" s="19"/>
      <c r="Z289" s="28"/>
    </row>
    <row r="290" spans="19:26" x14ac:dyDescent="0.35">
      <c r="S290" s="12"/>
      <c r="U290" s="18"/>
      <c r="V290" s="19"/>
      <c r="Z290" s="28"/>
    </row>
    <row r="291" spans="19:26" x14ac:dyDescent="0.35">
      <c r="S291" s="12"/>
      <c r="U291" s="18"/>
      <c r="V291" s="19"/>
      <c r="Z291" s="28"/>
    </row>
    <row r="292" spans="19:26" x14ac:dyDescent="0.35">
      <c r="S292" s="12"/>
      <c r="U292" s="18"/>
      <c r="V292" s="19"/>
      <c r="Z292" s="28"/>
    </row>
    <row r="293" spans="19:26" x14ac:dyDescent="0.35">
      <c r="S293" s="12"/>
      <c r="U293" s="18"/>
      <c r="V293" s="19"/>
      <c r="Z293" s="28"/>
    </row>
    <row r="294" spans="19:26" x14ac:dyDescent="0.35">
      <c r="S294" s="12"/>
      <c r="U294" s="18"/>
      <c r="V294" s="19"/>
      <c r="Z294" s="28"/>
    </row>
    <row r="295" spans="19:26" x14ac:dyDescent="0.35">
      <c r="S295" s="12"/>
      <c r="U295" s="18"/>
      <c r="V295" s="19"/>
      <c r="Z295" s="28"/>
    </row>
    <row r="296" spans="19:26" x14ac:dyDescent="0.35">
      <c r="S296" s="12"/>
      <c r="U296" s="18"/>
      <c r="V296" s="19"/>
      <c r="Z296" s="28"/>
    </row>
    <row r="297" spans="19:26" x14ac:dyDescent="0.35">
      <c r="S297" s="12"/>
      <c r="U297" s="18"/>
      <c r="V297" s="19"/>
      <c r="Z297" s="28"/>
    </row>
    <row r="298" spans="19:26" x14ac:dyDescent="0.35">
      <c r="S298" s="12"/>
      <c r="U298" s="18"/>
      <c r="V298" s="19"/>
      <c r="Z298" s="28"/>
    </row>
    <row r="299" spans="19:26" x14ac:dyDescent="0.35">
      <c r="S299" s="12"/>
      <c r="U299" s="18"/>
      <c r="V299" s="19"/>
      <c r="Z299" s="28"/>
    </row>
    <row r="300" spans="19:26" x14ac:dyDescent="0.35">
      <c r="S300" s="12"/>
      <c r="U300" s="18"/>
      <c r="V300" s="19"/>
      <c r="Z300" s="28"/>
    </row>
    <row r="301" spans="19:26" x14ac:dyDescent="0.35">
      <c r="S301" s="12"/>
      <c r="U301" s="18"/>
      <c r="V301" s="19"/>
      <c r="Z301" s="28"/>
    </row>
    <row r="302" spans="19:26" x14ac:dyDescent="0.35">
      <c r="S302" s="12"/>
      <c r="U302" s="18"/>
      <c r="V302" s="19"/>
      <c r="Z302" s="28"/>
    </row>
    <row r="303" spans="19:26" x14ac:dyDescent="0.35">
      <c r="S303" s="12"/>
      <c r="U303" s="18"/>
      <c r="V303" s="19"/>
      <c r="Z303" s="28"/>
    </row>
    <row r="304" spans="19:26" x14ac:dyDescent="0.35">
      <c r="S304" s="12"/>
      <c r="U304" s="18"/>
      <c r="V304" s="19"/>
      <c r="Z304" s="28"/>
    </row>
    <row r="305" spans="19:26" x14ac:dyDescent="0.35">
      <c r="S305" s="12"/>
      <c r="U305" s="18"/>
      <c r="V305" s="19"/>
      <c r="Z305" s="28"/>
    </row>
    <row r="306" spans="19:26" x14ac:dyDescent="0.35">
      <c r="S306" s="12"/>
      <c r="U306" s="18"/>
      <c r="V306" s="19"/>
      <c r="Z306" s="28"/>
    </row>
    <row r="307" spans="19:26" x14ac:dyDescent="0.35">
      <c r="S307" s="12"/>
      <c r="U307" s="18"/>
      <c r="V307" s="19"/>
      <c r="Z307" s="28"/>
    </row>
    <row r="308" spans="19:26" x14ac:dyDescent="0.35">
      <c r="S308" s="12"/>
      <c r="U308" s="18"/>
      <c r="V308" s="19"/>
      <c r="Z308" s="28"/>
    </row>
    <row r="309" spans="19:26" x14ac:dyDescent="0.35">
      <c r="S309" s="12"/>
      <c r="U309" s="18"/>
      <c r="V309" s="19"/>
      <c r="Z309" s="28"/>
    </row>
    <row r="310" spans="19:26" x14ac:dyDescent="0.35">
      <c r="S310" s="12"/>
      <c r="U310" s="18"/>
      <c r="V310" s="19"/>
      <c r="Z310" s="28"/>
    </row>
    <row r="311" spans="19:26" x14ac:dyDescent="0.35">
      <c r="S311" s="12"/>
      <c r="U311" s="18"/>
      <c r="V311" s="19"/>
      <c r="Z311" s="28"/>
    </row>
    <row r="312" spans="19:26" x14ac:dyDescent="0.35">
      <c r="S312" s="12"/>
      <c r="U312" s="18"/>
      <c r="V312" s="19"/>
      <c r="Z312" s="28"/>
    </row>
    <row r="313" spans="19:26" x14ac:dyDescent="0.35">
      <c r="S313" s="12"/>
      <c r="U313" s="18"/>
      <c r="V313" s="19"/>
      <c r="Z313" s="28"/>
    </row>
    <row r="314" spans="19:26" x14ac:dyDescent="0.35">
      <c r="S314" s="12"/>
      <c r="U314" s="18"/>
      <c r="V314" s="19"/>
      <c r="Z314" s="28"/>
    </row>
    <row r="315" spans="19:26" x14ac:dyDescent="0.35">
      <c r="S315" s="12"/>
      <c r="U315" s="18"/>
      <c r="V315" s="19"/>
      <c r="Z315" s="28"/>
    </row>
    <row r="316" spans="19:26" x14ac:dyDescent="0.35">
      <c r="S316" s="12"/>
      <c r="U316" s="18"/>
      <c r="V316" s="19"/>
      <c r="Z316" s="28"/>
    </row>
    <row r="317" spans="19:26" x14ac:dyDescent="0.35">
      <c r="S317" s="12"/>
      <c r="U317" s="18"/>
      <c r="V317" s="19"/>
      <c r="Z317" s="28"/>
    </row>
    <row r="318" spans="19:26" x14ac:dyDescent="0.35">
      <c r="S318" s="12"/>
      <c r="U318" s="18"/>
      <c r="V318" s="19"/>
      <c r="Z318" s="28"/>
    </row>
    <row r="319" spans="19:26" x14ac:dyDescent="0.35">
      <c r="S319" s="12"/>
      <c r="U319" s="18"/>
      <c r="V319" s="19"/>
      <c r="Z319" s="28"/>
    </row>
    <row r="320" spans="19:26" x14ac:dyDescent="0.35">
      <c r="S320" s="12"/>
      <c r="U320" s="18"/>
      <c r="V320" s="19"/>
      <c r="Z320" s="28"/>
    </row>
    <row r="321" spans="19:26" x14ac:dyDescent="0.35">
      <c r="S321" s="12"/>
      <c r="U321" s="18"/>
      <c r="V321" s="19"/>
      <c r="Z321" s="28"/>
    </row>
    <row r="322" spans="19:26" x14ac:dyDescent="0.35">
      <c r="S322" s="12"/>
      <c r="U322" s="18"/>
      <c r="V322" s="19"/>
      <c r="Z322" s="28"/>
    </row>
    <row r="323" spans="19:26" x14ac:dyDescent="0.35">
      <c r="S323" s="12"/>
      <c r="U323" s="18"/>
      <c r="V323" s="19"/>
      <c r="Z323" s="28"/>
    </row>
    <row r="324" spans="19:26" x14ac:dyDescent="0.35">
      <c r="S324" s="12"/>
      <c r="U324" s="18"/>
      <c r="V324" s="19"/>
      <c r="Z324" s="28"/>
    </row>
    <row r="325" spans="19:26" x14ac:dyDescent="0.35">
      <c r="S325" s="12"/>
      <c r="U325" s="18"/>
      <c r="V325" s="19"/>
      <c r="Z325" s="28"/>
    </row>
    <row r="326" spans="19:26" x14ac:dyDescent="0.35">
      <c r="S326" s="12"/>
      <c r="U326" s="18"/>
      <c r="V326" s="19"/>
      <c r="Z326" s="28"/>
    </row>
    <row r="327" spans="19:26" x14ac:dyDescent="0.35">
      <c r="S327" s="12"/>
      <c r="U327" s="18"/>
      <c r="V327" s="19"/>
      <c r="Z327" s="28"/>
    </row>
    <row r="328" spans="19:26" x14ac:dyDescent="0.35">
      <c r="S328" s="12"/>
      <c r="U328" s="18"/>
      <c r="V328" s="19"/>
      <c r="Z328" s="28"/>
    </row>
    <row r="329" spans="19:26" x14ac:dyDescent="0.35">
      <c r="S329" s="12"/>
      <c r="U329" s="18"/>
      <c r="V329" s="19"/>
      <c r="Z329" s="28"/>
    </row>
    <row r="330" spans="19:26" x14ac:dyDescent="0.35">
      <c r="S330" s="12"/>
      <c r="U330" s="18"/>
      <c r="V330" s="19"/>
      <c r="Z330" s="28"/>
    </row>
    <row r="331" spans="19:26" x14ac:dyDescent="0.35">
      <c r="S331" s="12"/>
      <c r="U331" s="18"/>
      <c r="V331" s="19"/>
      <c r="Z331" s="28"/>
    </row>
    <row r="332" spans="19:26" x14ac:dyDescent="0.35">
      <c r="S332" s="12"/>
      <c r="U332" s="18"/>
      <c r="V332" s="19"/>
      <c r="Z332" s="28"/>
    </row>
    <row r="333" spans="19:26" x14ac:dyDescent="0.35">
      <c r="S333" s="12"/>
      <c r="U333" s="18"/>
      <c r="V333" s="19"/>
      <c r="Z333" s="28"/>
    </row>
    <row r="334" spans="19:26" x14ac:dyDescent="0.35">
      <c r="S334" s="12"/>
      <c r="U334" s="18"/>
      <c r="V334" s="19"/>
      <c r="Z334" s="28"/>
    </row>
    <row r="335" spans="19:26" x14ac:dyDescent="0.35">
      <c r="S335" s="12"/>
      <c r="U335" s="18"/>
      <c r="V335" s="19"/>
      <c r="Z335" s="28"/>
    </row>
    <row r="336" spans="19:26" x14ac:dyDescent="0.35">
      <c r="S336" s="12"/>
      <c r="U336" s="18"/>
      <c r="V336" s="19"/>
      <c r="Z336" s="28"/>
    </row>
    <row r="337" spans="19:26" x14ac:dyDescent="0.35">
      <c r="S337" s="12"/>
      <c r="U337" s="18"/>
      <c r="V337" s="19"/>
      <c r="Z337" s="28"/>
    </row>
    <row r="338" spans="19:26" x14ac:dyDescent="0.35">
      <c r="S338" s="12"/>
      <c r="U338" s="18"/>
      <c r="V338" s="19"/>
      <c r="Z338" s="28"/>
    </row>
    <row r="339" spans="19:26" x14ac:dyDescent="0.35">
      <c r="S339" s="12"/>
      <c r="U339" s="18"/>
      <c r="V339" s="19"/>
      <c r="Z339" s="28"/>
    </row>
    <row r="340" spans="19:26" x14ac:dyDescent="0.35">
      <c r="S340" s="12"/>
      <c r="U340" s="18"/>
      <c r="V340" s="19"/>
      <c r="Z340" s="28"/>
    </row>
    <row r="341" spans="19:26" x14ac:dyDescent="0.35">
      <c r="S341" s="12"/>
      <c r="U341" s="18"/>
      <c r="V341" s="19"/>
      <c r="Z341" s="28"/>
    </row>
    <row r="342" spans="19:26" x14ac:dyDescent="0.35">
      <c r="S342" s="12"/>
      <c r="U342" s="18"/>
      <c r="V342" s="19"/>
      <c r="Z342" s="28"/>
    </row>
    <row r="343" spans="19:26" x14ac:dyDescent="0.35">
      <c r="S343" s="12"/>
      <c r="U343" s="18"/>
      <c r="V343" s="19"/>
      <c r="Z343" s="28"/>
    </row>
    <row r="344" spans="19:26" x14ac:dyDescent="0.35">
      <c r="S344" s="12"/>
      <c r="U344" s="18"/>
      <c r="V344" s="19"/>
      <c r="Z344" s="28"/>
    </row>
    <row r="345" spans="19:26" x14ac:dyDescent="0.35">
      <c r="S345" s="12"/>
      <c r="U345" s="18"/>
      <c r="V345" s="19"/>
      <c r="Z345" s="28"/>
    </row>
    <row r="346" spans="19:26" x14ac:dyDescent="0.35">
      <c r="S346" s="12"/>
      <c r="U346" s="18"/>
      <c r="V346" s="19"/>
      <c r="Z346" s="28"/>
    </row>
    <row r="347" spans="19:26" x14ac:dyDescent="0.35">
      <c r="S347" s="12"/>
      <c r="U347" s="18"/>
      <c r="V347" s="19"/>
      <c r="Z347" s="28"/>
    </row>
    <row r="348" spans="19:26" x14ac:dyDescent="0.35">
      <c r="S348" s="12"/>
      <c r="U348" s="18"/>
      <c r="V348" s="19"/>
      <c r="Z348" s="28"/>
    </row>
    <row r="349" spans="19:26" x14ac:dyDescent="0.35">
      <c r="S349" s="12"/>
      <c r="U349" s="18"/>
      <c r="V349" s="19"/>
      <c r="Z349" s="28"/>
    </row>
    <row r="350" spans="19:26" x14ac:dyDescent="0.35">
      <c r="S350" s="12"/>
      <c r="U350" s="18"/>
      <c r="V350" s="19"/>
      <c r="Z350" s="28"/>
    </row>
    <row r="351" spans="19:26" x14ac:dyDescent="0.35">
      <c r="S351" s="12"/>
      <c r="U351" s="18"/>
      <c r="V351" s="19"/>
      <c r="Z351" s="28"/>
    </row>
    <row r="352" spans="19:26" x14ac:dyDescent="0.35">
      <c r="S352" s="12"/>
      <c r="U352" s="18"/>
      <c r="V352" s="19"/>
      <c r="Z352" s="28"/>
    </row>
    <row r="353" spans="19:26" x14ac:dyDescent="0.35">
      <c r="S353" s="12"/>
      <c r="U353" s="18"/>
      <c r="V353" s="19"/>
      <c r="Z353" s="28"/>
    </row>
    <row r="354" spans="19:26" x14ac:dyDescent="0.35">
      <c r="S354" s="12"/>
      <c r="U354" s="18"/>
      <c r="V354" s="19"/>
      <c r="Z354" s="28"/>
    </row>
    <row r="355" spans="19:26" x14ac:dyDescent="0.35">
      <c r="S355" s="12"/>
      <c r="U355" s="18"/>
      <c r="V355" s="19"/>
      <c r="Z355" s="28"/>
    </row>
    <row r="356" spans="19:26" x14ac:dyDescent="0.35">
      <c r="S356" s="12"/>
      <c r="U356" s="18"/>
      <c r="V356" s="19"/>
      <c r="Z356" s="28"/>
    </row>
    <row r="357" spans="19:26" x14ac:dyDescent="0.35">
      <c r="S357" s="12"/>
      <c r="U357" s="18"/>
      <c r="V357" s="19"/>
      <c r="Z357" s="28"/>
    </row>
    <row r="358" spans="19:26" x14ac:dyDescent="0.35">
      <c r="S358" s="12"/>
      <c r="U358" s="18"/>
      <c r="V358" s="19"/>
      <c r="Z358" s="28"/>
    </row>
    <row r="359" spans="19:26" x14ac:dyDescent="0.35">
      <c r="S359" s="12"/>
      <c r="U359" s="18"/>
      <c r="V359" s="19"/>
      <c r="Z359" s="28"/>
    </row>
    <row r="360" spans="19:26" x14ac:dyDescent="0.35">
      <c r="S360" s="12"/>
      <c r="U360" s="18"/>
      <c r="V360" s="19"/>
      <c r="Z360" s="28"/>
    </row>
    <row r="361" spans="19:26" x14ac:dyDescent="0.35">
      <c r="S361" s="12"/>
      <c r="U361" s="18"/>
      <c r="V361" s="19"/>
      <c r="Z361" s="28"/>
    </row>
    <row r="362" spans="19:26" x14ac:dyDescent="0.35">
      <c r="S362" s="12"/>
      <c r="U362" s="18"/>
      <c r="V362" s="19"/>
      <c r="Z362" s="28"/>
    </row>
    <row r="363" spans="19:26" x14ac:dyDescent="0.35">
      <c r="S363" s="12"/>
      <c r="U363" s="18"/>
      <c r="V363" s="19"/>
      <c r="Z363" s="28"/>
    </row>
    <row r="364" spans="19:26" x14ac:dyDescent="0.35">
      <c r="S364" s="12"/>
      <c r="U364" s="18"/>
      <c r="V364" s="19"/>
      <c r="Z364" s="28"/>
    </row>
    <row r="365" spans="19:26" x14ac:dyDescent="0.35">
      <c r="S365" s="12"/>
      <c r="U365" s="18"/>
      <c r="V365" s="19"/>
      <c r="Z365" s="28"/>
    </row>
    <row r="366" spans="19:26" x14ac:dyDescent="0.35">
      <c r="S366" s="12"/>
      <c r="U366" s="18"/>
      <c r="V366" s="19"/>
      <c r="Z366" s="28"/>
    </row>
    <row r="367" spans="19:26" x14ac:dyDescent="0.35">
      <c r="S367" s="12"/>
      <c r="U367" s="18"/>
      <c r="V367" s="19"/>
      <c r="Z367" s="28"/>
    </row>
    <row r="368" spans="19:26" x14ac:dyDescent="0.35">
      <c r="S368" s="12"/>
      <c r="U368" s="18"/>
      <c r="V368" s="19"/>
      <c r="Z368" s="28"/>
    </row>
    <row r="369" spans="19:26" x14ac:dyDescent="0.35">
      <c r="S369" s="12"/>
      <c r="U369" s="18"/>
      <c r="V369" s="19"/>
      <c r="Z369" s="28"/>
    </row>
    <row r="370" spans="19:26" x14ac:dyDescent="0.35">
      <c r="S370" s="12"/>
      <c r="U370" s="18"/>
      <c r="V370" s="19"/>
      <c r="Z370" s="28"/>
    </row>
    <row r="371" spans="19:26" x14ac:dyDescent="0.35">
      <c r="S371" s="12"/>
      <c r="U371" s="18"/>
      <c r="V371" s="19"/>
      <c r="Z371" s="28"/>
    </row>
    <row r="372" spans="19:26" x14ac:dyDescent="0.35">
      <c r="S372" s="12"/>
      <c r="U372" s="18"/>
      <c r="V372" s="19"/>
      <c r="Z372" s="28"/>
    </row>
    <row r="373" spans="19:26" x14ac:dyDescent="0.35">
      <c r="S373" s="12"/>
      <c r="U373" s="18"/>
      <c r="V373" s="19"/>
      <c r="Z373" s="28"/>
    </row>
    <row r="374" spans="19:26" x14ac:dyDescent="0.35">
      <c r="S374" s="12"/>
      <c r="U374" s="18"/>
      <c r="V374" s="19"/>
      <c r="Z374" s="28"/>
    </row>
    <row r="375" spans="19:26" x14ac:dyDescent="0.35">
      <c r="S375" s="12"/>
      <c r="U375" s="18"/>
      <c r="V375" s="19"/>
      <c r="Z375" s="28"/>
    </row>
    <row r="376" spans="19:26" x14ac:dyDescent="0.35">
      <c r="S376" s="12"/>
      <c r="U376" s="18"/>
      <c r="V376" s="19"/>
      <c r="Z376" s="28"/>
    </row>
    <row r="377" spans="19:26" x14ac:dyDescent="0.35">
      <c r="S377" s="12"/>
      <c r="U377" s="18"/>
      <c r="V377" s="19"/>
      <c r="Z377" s="28"/>
    </row>
    <row r="378" spans="19:26" x14ac:dyDescent="0.35">
      <c r="S378" s="12"/>
      <c r="U378" s="18"/>
      <c r="V378" s="19"/>
      <c r="Z378" s="28"/>
    </row>
    <row r="379" spans="19:26" x14ac:dyDescent="0.35">
      <c r="S379" s="12"/>
      <c r="U379" s="18"/>
      <c r="V379" s="19"/>
      <c r="Z379" s="28"/>
    </row>
    <row r="380" spans="19:26" x14ac:dyDescent="0.35">
      <c r="S380" s="12"/>
      <c r="U380" s="18"/>
      <c r="V380" s="19"/>
      <c r="Z380" s="28"/>
    </row>
    <row r="381" spans="19:26" x14ac:dyDescent="0.35">
      <c r="S381" s="12"/>
      <c r="U381" s="18"/>
      <c r="V381" s="19"/>
      <c r="Z381" s="28"/>
    </row>
    <row r="382" spans="19:26" x14ac:dyDescent="0.35">
      <c r="S382" s="12"/>
      <c r="U382" s="18"/>
      <c r="V382" s="19"/>
      <c r="Z382" s="28"/>
    </row>
    <row r="383" spans="19:26" x14ac:dyDescent="0.35">
      <c r="S383" s="12"/>
      <c r="U383" s="18"/>
      <c r="V383" s="19"/>
      <c r="Z383" s="28"/>
    </row>
    <row r="384" spans="19:26" x14ac:dyDescent="0.35">
      <c r="S384" s="12"/>
      <c r="U384" s="18"/>
      <c r="V384" s="19"/>
      <c r="Z384" s="28"/>
    </row>
    <row r="385" spans="19:26" x14ac:dyDescent="0.35">
      <c r="S385" s="12"/>
      <c r="U385" s="18"/>
      <c r="V385" s="19"/>
      <c r="Z385" s="28"/>
    </row>
    <row r="386" spans="19:26" x14ac:dyDescent="0.35">
      <c r="S386" s="12"/>
      <c r="U386" s="18"/>
      <c r="V386" s="19"/>
      <c r="Z386" s="28"/>
    </row>
    <row r="387" spans="19:26" x14ac:dyDescent="0.35">
      <c r="S387" s="12"/>
      <c r="U387" s="18"/>
      <c r="V387" s="19"/>
      <c r="Z387" s="28"/>
    </row>
    <row r="388" spans="19:26" x14ac:dyDescent="0.35">
      <c r="S388" s="12"/>
      <c r="U388" s="18"/>
      <c r="V388" s="19"/>
      <c r="Z388" s="28"/>
    </row>
    <row r="389" spans="19:26" x14ac:dyDescent="0.35">
      <c r="S389" s="12"/>
      <c r="U389" s="18"/>
      <c r="V389" s="19"/>
      <c r="Z389" s="28"/>
    </row>
    <row r="390" spans="19:26" x14ac:dyDescent="0.35">
      <c r="S390" s="12"/>
      <c r="U390" s="18"/>
      <c r="V390" s="19"/>
      <c r="Z390" s="28"/>
    </row>
    <row r="391" spans="19:26" x14ac:dyDescent="0.35">
      <c r="S391" s="12"/>
      <c r="U391" s="18"/>
      <c r="V391" s="19"/>
      <c r="Z391" s="28"/>
    </row>
    <row r="392" spans="19:26" x14ac:dyDescent="0.35">
      <c r="S392" s="12"/>
      <c r="U392" s="18"/>
      <c r="V392" s="19"/>
      <c r="Z392" s="28"/>
    </row>
    <row r="393" spans="19:26" x14ac:dyDescent="0.35">
      <c r="S393" s="12"/>
      <c r="U393" s="18"/>
      <c r="V393" s="19"/>
      <c r="Z393" s="28"/>
    </row>
    <row r="394" spans="19:26" x14ac:dyDescent="0.35">
      <c r="S394" s="12"/>
      <c r="U394" s="18"/>
      <c r="V394" s="19"/>
      <c r="Z394" s="28"/>
    </row>
    <row r="395" spans="19:26" x14ac:dyDescent="0.35">
      <c r="S395" s="12"/>
      <c r="U395" s="18"/>
      <c r="V395" s="19"/>
      <c r="Z395" s="28"/>
    </row>
    <row r="396" spans="19:26" x14ac:dyDescent="0.35">
      <c r="S396" s="12"/>
      <c r="U396" s="18"/>
      <c r="V396" s="19"/>
      <c r="Z396" s="28"/>
    </row>
    <row r="397" spans="19:26" x14ac:dyDescent="0.35">
      <c r="S397" s="12"/>
      <c r="U397" s="18"/>
      <c r="V397" s="19"/>
      <c r="Z397" s="28"/>
    </row>
    <row r="398" spans="19:26" x14ac:dyDescent="0.35">
      <c r="S398" s="12"/>
      <c r="U398" s="18"/>
      <c r="V398" s="19"/>
      <c r="Z398" s="28"/>
    </row>
    <row r="399" spans="19:26" x14ac:dyDescent="0.35">
      <c r="S399" s="12"/>
      <c r="U399" s="18"/>
      <c r="V399" s="19"/>
      <c r="Z399" s="28"/>
    </row>
    <row r="400" spans="19:26" x14ac:dyDescent="0.35">
      <c r="S400" s="12"/>
      <c r="U400" s="18"/>
      <c r="V400" s="19"/>
      <c r="Z400" s="28"/>
    </row>
    <row r="401" spans="19:26" x14ac:dyDescent="0.35">
      <c r="S401" s="12"/>
      <c r="U401" s="18"/>
      <c r="V401" s="19"/>
      <c r="Z401" s="28"/>
    </row>
    <row r="402" spans="19:26" x14ac:dyDescent="0.35">
      <c r="S402" s="12"/>
      <c r="U402" s="18"/>
      <c r="V402" s="19"/>
      <c r="Z402" s="28"/>
    </row>
    <row r="403" spans="19:26" x14ac:dyDescent="0.35">
      <c r="S403" s="12"/>
      <c r="U403" s="18"/>
      <c r="V403" s="19"/>
      <c r="Z403" s="28"/>
    </row>
    <row r="404" spans="19:26" x14ac:dyDescent="0.35">
      <c r="S404" s="12"/>
      <c r="U404" s="18"/>
      <c r="V404" s="19"/>
      <c r="Z404" s="28"/>
    </row>
    <row r="405" spans="19:26" x14ac:dyDescent="0.35">
      <c r="S405" s="12"/>
      <c r="U405" s="18"/>
      <c r="V405" s="19"/>
      <c r="Z405" s="28"/>
    </row>
    <row r="406" spans="19:26" x14ac:dyDescent="0.35">
      <c r="S406" s="12"/>
      <c r="U406" s="18"/>
      <c r="V406" s="19"/>
      <c r="Z406" s="28"/>
    </row>
    <row r="407" spans="19:26" x14ac:dyDescent="0.35">
      <c r="S407" s="12"/>
      <c r="U407" s="18"/>
      <c r="V407" s="19"/>
      <c r="Z407" s="28"/>
    </row>
    <row r="408" spans="19:26" x14ac:dyDescent="0.35">
      <c r="S408" s="12"/>
      <c r="U408" s="18"/>
      <c r="V408" s="19"/>
      <c r="Z408" s="28"/>
    </row>
    <row r="409" spans="19:26" x14ac:dyDescent="0.35">
      <c r="S409" s="12"/>
      <c r="U409" s="18"/>
      <c r="V409" s="19"/>
      <c r="Z409" s="28"/>
    </row>
    <row r="410" spans="19:26" x14ac:dyDescent="0.35">
      <c r="S410" s="12"/>
      <c r="U410" s="18"/>
      <c r="V410" s="19"/>
      <c r="Z410" s="28"/>
    </row>
    <row r="411" spans="19:26" x14ac:dyDescent="0.35">
      <c r="S411" s="12"/>
      <c r="U411" s="18"/>
      <c r="V411" s="19"/>
      <c r="Z411" s="28"/>
    </row>
    <row r="412" spans="19:26" x14ac:dyDescent="0.35">
      <c r="S412" s="12"/>
      <c r="U412" s="18"/>
      <c r="V412" s="19"/>
      <c r="Z412" s="28"/>
    </row>
    <row r="413" spans="19:26" x14ac:dyDescent="0.35">
      <c r="S413" s="12"/>
      <c r="U413" s="18"/>
      <c r="V413" s="19"/>
      <c r="Z413" s="28"/>
    </row>
    <row r="414" spans="19:26" x14ac:dyDescent="0.35">
      <c r="S414" s="12"/>
      <c r="U414" s="18"/>
      <c r="V414" s="19"/>
      <c r="Z414" s="28"/>
    </row>
    <row r="415" spans="19:26" x14ac:dyDescent="0.35">
      <c r="S415" s="12"/>
      <c r="U415" s="18"/>
      <c r="V415" s="19"/>
      <c r="Z415" s="28"/>
    </row>
    <row r="416" spans="19:26" x14ac:dyDescent="0.35">
      <c r="S416" s="12"/>
      <c r="U416" s="18"/>
      <c r="V416" s="19"/>
      <c r="Z416" s="28"/>
    </row>
    <row r="417" spans="19:26" x14ac:dyDescent="0.35">
      <c r="S417" s="12"/>
      <c r="U417" s="18"/>
      <c r="V417" s="19"/>
      <c r="Z417" s="28"/>
    </row>
    <row r="418" spans="19:26" x14ac:dyDescent="0.35">
      <c r="S418" s="12"/>
      <c r="U418" s="18"/>
      <c r="V418" s="19"/>
      <c r="Z418" s="28"/>
    </row>
    <row r="419" spans="19:26" x14ac:dyDescent="0.35">
      <c r="S419" s="12"/>
      <c r="U419" s="18"/>
      <c r="V419" s="19"/>
      <c r="Z419" s="28"/>
    </row>
    <row r="420" spans="19:26" x14ac:dyDescent="0.35">
      <c r="S420" s="12"/>
      <c r="U420" s="18"/>
      <c r="V420" s="19"/>
      <c r="Z420" s="28"/>
    </row>
    <row r="421" spans="19:26" x14ac:dyDescent="0.35">
      <c r="S421" s="12"/>
      <c r="U421" s="18"/>
      <c r="V421" s="19"/>
      <c r="Z421" s="28"/>
    </row>
    <row r="422" spans="19:26" x14ac:dyDescent="0.35">
      <c r="S422" s="12"/>
      <c r="U422" s="18"/>
      <c r="V422" s="19"/>
      <c r="Z422" s="28"/>
    </row>
    <row r="423" spans="19:26" x14ac:dyDescent="0.35">
      <c r="S423" s="12"/>
      <c r="U423" s="18"/>
      <c r="V423" s="19"/>
      <c r="Z423" s="28"/>
    </row>
    <row r="424" spans="19:26" x14ac:dyDescent="0.35">
      <c r="S424" s="12"/>
      <c r="U424" s="18"/>
      <c r="V424" s="19"/>
      <c r="Z424" s="28"/>
    </row>
    <row r="425" spans="19:26" x14ac:dyDescent="0.35">
      <c r="S425" s="12"/>
      <c r="U425" s="18"/>
      <c r="V425" s="19"/>
      <c r="Z425" s="28"/>
    </row>
    <row r="426" spans="19:26" x14ac:dyDescent="0.35">
      <c r="S426" s="12"/>
      <c r="U426" s="18"/>
      <c r="V426" s="19"/>
      <c r="Z426" s="28"/>
    </row>
    <row r="427" spans="19:26" x14ac:dyDescent="0.35">
      <c r="S427" s="12"/>
      <c r="U427" s="18"/>
      <c r="V427" s="19"/>
      <c r="Z427" s="28"/>
    </row>
    <row r="428" spans="19:26" x14ac:dyDescent="0.35">
      <c r="S428" s="12"/>
      <c r="U428" s="18"/>
      <c r="V428" s="19"/>
      <c r="Z428" s="28"/>
    </row>
    <row r="429" spans="19:26" x14ac:dyDescent="0.35">
      <c r="S429" s="12"/>
      <c r="U429" s="18"/>
      <c r="V429" s="19"/>
      <c r="Z429" s="28"/>
    </row>
    <row r="430" spans="19:26" x14ac:dyDescent="0.35">
      <c r="S430" s="12"/>
      <c r="U430" s="18"/>
      <c r="V430" s="19"/>
      <c r="Z430" s="28"/>
    </row>
    <row r="431" spans="19:26" x14ac:dyDescent="0.35">
      <c r="S431" s="12"/>
      <c r="U431" s="18"/>
      <c r="V431" s="19"/>
      <c r="Z431" s="28"/>
    </row>
    <row r="432" spans="19:26" x14ac:dyDescent="0.35">
      <c r="S432" s="12"/>
      <c r="U432" s="18"/>
      <c r="V432" s="19"/>
      <c r="Z432" s="28"/>
    </row>
    <row r="433" spans="19:26" x14ac:dyDescent="0.35">
      <c r="S433" s="12"/>
      <c r="U433" s="18"/>
      <c r="V433" s="19"/>
      <c r="Z433" s="28"/>
    </row>
    <row r="434" spans="19:26" x14ac:dyDescent="0.35">
      <c r="S434" s="12"/>
      <c r="U434" s="18"/>
      <c r="V434" s="19"/>
      <c r="Z434" s="28"/>
    </row>
    <row r="435" spans="19:26" x14ac:dyDescent="0.35">
      <c r="S435" s="12"/>
      <c r="U435" s="18"/>
      <c r="V435" s="19"/>
      <c r="Z435" s="28"/>
    </row>
    <row r="436" spans="19:26" x14ac:dyDescent="0.35">
      <c r="S436" s="12"/>
      <c r="U436" s="18"/>
      <c r="V436" s="19"/>
      <c r="Z436" s="28"/>
    </row>
    <row r="437" spans="19:26" x14ac:dyDescent="0.35">
      <c r="S437" s="12"/>
      <c r="U437" s="18"/>
      <c r="V437" s="19"/>
      <c r="Z437" s="28"/>
    </row>
    <row r="438" spans="19:26" x14ac:dyDescent="0.35">
      <c r="S438" s="12"/>
      <c r="U438" s="18"/>
      <c r="V438" s="19"/>
      <c r="Z438" s="28"/>
    </row>
    <row r="439" spans="19:26" x14ac:dyDescent="0.35">
      <c r="S439" s="12"/>
      <c r="U439" s="18"/>
      <c r="V439" s="19"/>
      <c r="Z439" s="28"/>
    </row>
    <row r="440" spans="19:26" x14ac:dyDescent="0.35">
      <c r="S440" s="12"/>
      <c r="U440" s="18"/>
      <c r="V440" s="19"/>
      <c r="Z440" s="28"/>
    </row>
    <row r="441" spans="19:26" x14ac:dyDescent="0.35">
      <c r="S441" s="12"/>
      <c r="U441" s="18"/>
      <c r="V441" s="19"/>
      <c r="Z441" s="28"/>
    </row>
    <row r="442" spans="19:26" x14ac:dyDescent="0.35">
      <c r="S442" s="12"/>
      <c r="U442" s="18"/>
      <c r="V442" s="19"/>
      <c r="Z442" s="28"/>
    </row>
    <row r="443" spans="19:26" x14ac:dyDescent="0.35">
      <c r="S443" s="12"/>
      <c r="U443" s="18"/>
      <c r="V443" s="19"/>
      <c r="Z443" s="28"/>
    </row>
    <row r="444" spans="19:26" x14ac:dyDescent="0.35">
      <c r="S444" s="12"/>
      <c r="U444" s="18"/>
      <c r="V444" s="19"/>
      <c r="Z444" s="28"/>
    </row>
    <row r="445" spans="19:26" x14ac:dyDescent="0.35">
      <c r="S445" s="12"/>
      <c r="U445" s="18"/>
      <c r="V445" s="19"/>
      <c r="Z445" s="28"/>
    </row>
    <row r="446" spans="19:26" x14ac:dyDescent="0.35">
      <c r="S446" s="12"/>
      <c r="U446" s="18"/>
      <c r="V446" s="19"/>
      <c r="Z446" s="28"/>
    </row>
    <row r="447" spans="19:26" x14ac:dyDescent="0.35">
      <c r="S447" s="12"/>
      <c r="U447" s="18"/>
      <c r="V447" s="19"/>
      <c r="Z447" s="28"/>
    </row>
    <row r="448" spans="19:26" x14ac:dyDescent="0.35">
      <c r="S448" s="12"/>
      <c r="U448" s="18"/>
      <c r="V448" s="19"/>
      <c r="Z448" s="28"/>
    </row>
    <row r="449" spans="19:26" x14ac:dyDescent="0.35">
      <c r="S449" s="12"/>
      <c r="U449" s="18"/>
      <c r="V449" s="19"/>
      <c r="Z449" s="28"/>
    </row>
    <row r="450" spans="19:26" x14ac:dyDescent="0.35">
      <c r="S450" s="12"/>
      <c r="U450" s="18"/>
      <c r="V450" s="19"/>
      <c r="Z450" s="28"/>
    </row>
    <row r="451" spans="19:26" x14ac:dyDescent="0.35">
      <c r="S451" s="12"/>
      <c r="U451" s="18"/>
      <c r="V451" s="19"/>
      <c r="Z451" s="28"/>
    </row>
    <row r="452" spans="19:26" x14ac:dyDescent="0.35">
      <c r="S452" s="12"/>
      <c r="U452" s="18"/>
      <c r="V452" s="19"/>
      <c r="Z452" s="28"/>
    </row>
    <row r="453" spans="19:26" x14ac:dyDescent="0.35">
      <c r="S453" s="12"/>
      <c r="U453" s="18"/>
      <c r="V453" s="19"/>
      <c r="Z453" s="28"/>
    </row>
    <row r="454" spans="19:26" x14ac:dyDescent="0.35">
      <c r="S454" s="12"/>
      <c r="U454" s="18"/>
      <c r="V454" s="19"/>
      <c r="Z454" s="28"/>
    </row>
    <row r="455" spans="19:26" x14ac:dyDescent="0.35">
      <c r="S455" s="12"/>
      <c r="U455" s="18"/>
      <c r="V455" s="19"/>
      <c r="Z455" s="28"/>
    </row>
    <row r="456" spans="19:26" x14ac:dyDescent="0.35">
      <c r="S456" s="12"/>
      <c r="U456" s="18"/>
      <c r="V456" s="19"/>
      <c r="Z456" s="28"/>
    </row>
    <row r="457" spans="19:26" x14ac:dyDescent="0.35">
      <c r="S457" s="12"/>
      <c r="U457" s="18"/>
      <c r="V457" s="19"/>
      <c r="Z457" s="28"/>
    </row>
    <row r="458" spans="19:26" x14ac:dyDescent="0.35">
      <c r="S458" s="12"/>
      <c r="U458" s="18"/>
      <c r="V458" s="19"/>
      <c r="Z458" s="28"/>
    </row>
    <row r="459" spans="19:26" x14ac:dyDescent="0.35">
      <c r="S459" s="12"/>
      <c r="U459" s="18"/>
      <c r="V459" s="19"/>
      <c r="Z459" s="28"/>
    </row>
    <row r="460" spans="19:26" x14ac:dyDescent="0.35">
      <c r="S460" s="12"/>
      <c r="U460" s="18"/>
      <c r="V460" s="19"/>
      <c r="Z460" s="28"/>
    </row>
    <row r="461" spans="19:26" x14ac:dyDescent="0.35">
      <c r="S461" s="12"/>
      <c r="U461" s="18"/>
      <c r="V461" s="19"/>
      <c r="Z461" s="28"/>
    </row>
    <row r="462" spans="19:26" x14ac:dyDescent="0.35">
      <c r="S462" s="12"/>
      <c r="U462" s="18"/>
      <c r="V462" s="19"/>
      <c r="Z462" s="28"/>
    </row>
    <row r="463" spans="19:26" x14ac:dyDescent="0.35">
      <c r="S463" s="12"/>
      <c r="U463" s="18"/>
      <c r="V463" s="19"/>
      <c r="Z463" s="28"/>
    </row>
    <row r="464" spans="19:26" x14ac:dyDescent="0.35">
      <c r="S464" s="12"/>
      <c r="U464" s="18"/>
      <c r="V464" s="19"/>
      <c r="Z464" s="28"/>
    </row>
    <row r="465" spans="19:26" x14ac:dyDescent="0.35">
      <c r="S465" s="12"/>
      <c r="U465" s="18"/>
      <c r="V465" s="19"/>
      <c r="Z465" s="28"/>
    </row>
    <row r="466" spans="19:26" x14ac:dyDescent="0.35">
      <c r="S466" s="12"/>
      <c r="U466" s="18"/>
      <c r="V466" s="19"/>
      <c r="Z466" s="28"/>
    </row>
    <row r="467" spans="19:26" x14ac:dyDescent="0.35">
      <c r="S467" s="12"/>
      <c r="U467" s="18"/>
      <c r="V467" s="19"/>
      <c r="Z467" s="28"/>
    </row>
    <row r="468" spans="19:26" x14ac:dyDescent="0.35">
      <c r="S468" s="12"/>
      <c r="U468" s="18"/>
      <c r="V468" s="19"/>
      <c r="Z468" s="28"/>
    </row>
    <row r="469" spans="19:26" x14ac:dyDescent="0.35">
      <c r="S469" s="12"/>
      <c r="U469" s="18"/>
      <c r="V469" s="19"/>
      <c r="Z469" s="28"/>
    </row>
    <row r="470" spans="19:26" x14ac:dyDescent="0.35">
      <c r="S470" s="12"/>
      <c r="U470" s="18"/>
      <c r="V470" s="19"/>
      <c r="Z470" s="28"/>
    </row>
    <row r="471" spans="19:26" x14ac:dyDescent="0.35">
      <c r="S471" s="12"/>
      <c r="U471" s="18"/>
      <c r="V471" s="19"/>
      <c r="Z471" s="28"/>
    </row>
    <row r="472" spans="19:26" x14ac:dyDescent="0.35">
      <c r="S472" s="12"/>
      <c r="U472" s="18"/>
      <c r="V472" s="19"/>
      <c r="Z472" s="28"/>
    </row>
    <row r="473" spans="19:26" x14ac:dyDescent="0.35">
      <c r="S473" s="12"/>
      <c r="U473" s="18"/>
      <c r="V473" s="19"/>
      <c r="Z473" s="28"/>
    </row>
    <row r="474" spans="19:26" x14ac:dyDescent="0.35">
      <c r="S474" s="12"/>
      <c r="U474" s="18"/>
      <c r="V474" s="19"/>
      <c r="Z474" s="28"/>
    </row>
    <row r="475" spans="19:26" x14ac:dyDescent="0.35">
      <c r="S475" s="12"/>
      <c r="U475" s="18"/>
      <c r="V475" s="19"/>
      <c r="Z475" s="28"/>
    </row>
    <row r="476" spans="19:26" x14ac:dyDescent="0.35">
      <c r="S476" s="12"/>
      <c r="U476" s="18"/>
      <c r="V476" s="19"/>
      <c r="Z476" s="28"/>
    </row>
    <row r="477" spans="19:26" x14ac:dyDescent="0.35">
      <c r="S477" s="12"/>
      <c r="U477" s="18"/>
      <c r="V477" s="19"/>
      <c r="Z477" s="28"/>
    </row>
    <row r="478" spans="19:26" x14ac:dyDescent="0.35">
      <c r="S478" s="12"/>
      <c r="U478" s="18"/>
      <c r="V478" s="19"/>
      <c r="Z478" s="28"/>
    </row>
    <row r="479" spans="19:26" x14ac:dyDescent="0.35">
      <c r="S479" s="12"/>
      <c r="U479" s="18"/>
      <c r="V479" s="19"/>
      <c r="Z479" s="28"/>
    </row>
    <row r="480" spans="19:26" x14ac:dyDescent="0.35">
      <c r="S480" s="12"/>
      <c r="U480" s="18"/>
      <c r="V480" s="19"/>
      <c r="Z480" s="28"/>
    </row>
    <row r="481" spans="19:26" x14ac:dyDescent="0.35">
      <c r="S481" s="12"/>
      <c r="U481" s="18"/>
      <c r="V481" s="19"/>
      <c r="Z481" s="28"/>
    </row>
    <row r="482" spans="19:26" x14ac:dyDescent="0.35">
      <c r="S482" s="12"/>
      <c r="U482" s="18"/>
      <c r="V482" s="19"/>
      <c r="Z482" s="28"/>
    </row>
    <row r="483" spans="19:26" x14ac:dyDescent="0.35">
      <c r="S483" s="12"/>
      <c r="U483" s="18"/>
      <c r="V483" s="19"/>
      <c r="Z483" s="28"/>
    </row>
    <row r="484" spans="19:26" x14ac:dyDescent="0.35">
      <c r="S484" s="12"/>
      <c r="U484" s="18"/>
      <c r="V484" s="19"/>
      <c r="Z484" s="28"/>
    </row>
    <row r="485" spans="19:26" x14ac:dyDescent="0.35">
      <c r="S485" s="12"/>
      <c r="U485" s="18"/>
      <c r="V485" s="19"/>
      <c r="Z485" s="28"/>
    </row>
    <row r="486" spans="19:26" x14ac:dyDescent="0.35">
      <c r="S486" s="12"/>
      <c r="U486" s="18"/>
      <c r="V486" s="19"/>
      <c r="Z486" s="28"/>
    </row>
    <row r="487" spans="19:26" x14ac:dyDescent="0.35">
      <c r="S487" s="12"/>
      <c r="U487" s="18"/>
      <c r="V487" s="19"/>
      <c r="Z487" s="28"/>
    </row>
    <row r="488" spans="19:26" x14ac:dyDescent="0.35">
      <c r="S488" s="12"/>
      <c r="U488" s="18"/>
      <c r="V488" s="19"/>
      <c r="Z488" s="28"/>
    </row>
    <row r="489" spans="19:26" x14ac:dyDescent="0.35">
      <c r="S489" s="12"/>
      <c r="U489" s="18"/>
      <c r="V489" s="19"/>
      <c r="Z489" s="28"/>
    </row>
    <row r="490" spans="19:26" x14ac:dyDescent="0.35">
      <c r="S490" s="12"/>
      <c r="U490" s="18"/>
      <c r="V490" s="19"/>
      <c r="Z490" s="28"/>
    </row>
    <row r="491" spans="19:26" x14ac:dyDescent="0.35">
      <c r="S491" s="12"/>
      <c r="U491" s="18"/>
      <c r="V491" s="19"/>
      <c r="Z491" s="28"/>
    </row>
    <row r="492" spans="19:26" x14ac:dyDescent="0.35">
      <c r="S492" s="12"/>
      <c r="U492" s="18"/>
      <c r="V492" s="19"/>
      <c r="Z492" s="28"/>
    </row>
    <row r="493" spans="19:26" x14ac:dyDescent="0.35">
      <c r="S493" s="12"/>
      <c r="U493" s="18"/>
      <c r="V493" s="19"/>
      <c r="Z493" s="28"/>
    </row>
    <row r="494" spans="19:26" x14ac:dyDescent="0.35">
      <c r="S494" s="12"/>
      <c r="U494" s="18"/>
      <c r="V494" s="19"/>
      <c r="Z494" s="28"/>
    </row>
    <row r="495" spans="19:26" x14ac:dyDescent="0.35">
      <c r="S495" s="12"/>
      <c r="U495" s="18"/>
      <c r="V495" s="19"/>
      <c r="Z495" s="28"/>
    </row>
    <row r="496" spans="19:26" x14ac:dyDescent="0.35">
      <c r="S496" s="12"/>
      <c r="U496" s="18"/>
      <c r="V496" s="19"/>
      <c r="Z496" s="28"/>
    </row>
    <row r="497" spans="19:26" x14ac:dyDescent="0.35">
      <c r="S497" s="12"/>
      <c r="U497" s="18"/>
      <c r="V497" s="19"/>
      <c r="Z497" s="28"/>
    </row>
    <row r="498" spans="19:26" x14ac:dyDescent="0.35">
      <c r="S498" s="12"/>
      <c r="U498" s="18"/>
      <c r="V498" s="19"/>
      <c r="Z498" s="28"/>
    </row>
    <row r="499" spans="19:26" x14ac:dyDescent="0.35">
      <c r="S499" s="12"/>
      <c r="U499" s="18"/>
      <c r="V499" s="19"/>
      <c r="Z499" s="28"/>
    </row>
    <row r="500" spans="19:26" x14ac:dyDescent="0.35">
      <c r="S500" s="12"/>
      <c r="U500" s="18"/>
      <c r="V500" s="19"/>
      <c r="Z500" s="28"/>
    </row>
    <row r="501" spans="19:26" x14ac:dyDescent="0.35">
      <c r="S501" s="12"/>
      <c r="U501" s="18"/>
      <c r="V501" s="19"/>
      <c r="Z501" s="28"/>
    </row>
    <row r="502" spans="19:26" x14ac:dyDescent="0.35">
      <c r="S502" s="12"/>
      <c r="U502" s="18"/>
      <c r="V502" s="19"/>
      <c r="Z502" s="28"/>
    </row>
    <row r="503" spans="19:26" x14ac:dyDescent="0.35">
      <c r="S503" s="12"/>
      <c r="U503" s="18"/>
      <c r="V503" s="19"/>
      <c r="Z503" s="28"/>
    </row>
    <row r="504" spans="19:26" x14ac:dyDescent="0.35">
      <c r="S504" s="12"/>
      <c r="U504" s="18"/>
      <c r="V504" s="19"/>
      <c r="Z504" s="28"/>
    </row>
    <row r="505" spans="19:26" x14ac:dyDescent="0.35">
      <c r="S505" s="12"/>
      <c r="U505" s="18"/>
      <c r="V505" s="19"/>
      <c r="Z505" s="28"/>
    </row>
    <row r="506" spans="19:26" x14ac:dyDescent="0.35">
      <c r="S506" s="12"/>
      <c r="U506" s="18"/>
      <c r="V506" s="19"/>
      <c r="Z506" s="28"/>
    </row>
    <row r="507" spans="19:26" x14ac:dyDescent="0.35">
      <c r="S507" s="12"/>
      <c r="U507" s="18"/>
      <c r="V507" s="19"/>
      <c r="Z507" s="28"/>
    </row>
    <row r="508" spans="19:26" x14ac:dyDescent="0.35">
      <c r="S508" s="12"/>
      <c r="U508" s="18"/>
      <c r="V508" s="19"/>
      <c r="Z508" s="28"/>
    </row>
    <row r="509" spans="19:26" x14ac:dyDescent="0.35">
      <c r="S509" s="12"/>
      <c r="U509" s="18"/>
      <c r="V509" s="19"/>
      <c r="Z509" s="28"/>
    </row>
    <row r="510" spans="19:26" x14ac:dyDescent="0.35">
      <c r="S510" s="12"/>
      <c r="U510" s="18"/>
      <c r="V510" s="19"/>
      <c r="Z510" s="28"/>
    </row>
    <row r="511" spans="19:26" x14ac:dyDescent="0.35">
      <c r="S511" s="12"/>
      <c r="U511" s="18"/>
      <c r="V511" s="19"/>
      <c r="Z511" s="28"/>
    </row>
    <row r="512" spans="19:26" x14ac:dyDescent="0.35">
      <c r="S512" s="12"/>
      <c r="U512" s="18"/>
      <c r="V512" s="19"/>
      <c r="Z512" s="28"/>
    </row>
    <row r="513" spans="19:26" x14ac:dyDescent="0.35">
      <c r="S513" s="12"/>
      <c r="U513" s="18"/>
      <c r="V513" s="19"/>
      <c r="Z513" s="28"/>
    </row>
    <row r="514" spans="19:26" x14ac:dyDescent="0.35">
      <c r="S514" s="12"/>
      <c r="U514" s="18"/>
      <c r="V514" s="19"/>
      <c r="Z514" s="28"/>
    </row>
    <row r="515" spans="19:26" x14ac:dyDescent="0.35">
      <c r="S515" s="12"/>
      <c r="U515" s="18"/>
      <c r="V515" s="19"/>
      <c r="Z515" s="28"/>
    </row>
    <row r="516" spans="19:26" x14ac:dyDescent="0.35">
      <c r="S516" s="12"/>
      <c r="U516" s="18"/>
      <c r="V516" s="19"/>
      <c r="Z516" s="28"/>
    </row>
    <row r="517" spans="19:26" x14ac:dyDescent="0.35">
      <c r="S517" s="12"/>
      <c r="U517" s="18"/>
      <c r="V517" s="19"/>
      <c r="Z517" s="28"/>
    </row>
    <row r="518" spans="19:26" x14ac:dyDescent="0.35">
      <c r="S518" s="12"/>
      <c r="U518" s="18"/>
      <c r="V518" s="19"/>
      <c r="Z518" s="28"/>
    </row>
    <row r="519" spans="19:26" x14ac:dyDescent="0.35">
      <c r="S519" s="12"/>
      <c r="U519" s="18"/>
      <c r="V519" s="19"/>
      <c r="Z519" s="28"/>
    </row>
    <row r="520" spans="19:26" x14ac:dyDescent="0.35">
      <c r="S520" s="12"/>
      <c r="U520" s="18"/>
      <c r="V520" s="19"/>
      <c r="Z520" s="28"/>
    </row>
    <row r="521" spans="19:26" x14ac:dyDescent="0.35">
      <c r="S521" s="12"/>
      <c r="U521" s="18"/>
      <c r="V521" s="19"/>
      <c r="Z521" s="28"/>
    </row>
    <row r="522" spans="19:26" x14ac:dyDescent="0.35">
      <c r="S522" s="12"/>
      <c r="U522" s="18"/>
      <c r="V522" s="19"/>
      <c r="Z522" s="28"/>
    </row>
    <row r="523" spans="19:26" x14ac:dyDescent="0.35">
      <c r="S523" s="12"/>
      <c r="U523" s="18"/>
      <c r="V523" s="19"/>
      <c r="Z523" s="28"/>
    </row>
    <row r="524" spans="19:26" x14ac:dyDescent="0.35">
      <c r="S524" s="12"/>
      <c r="U524" s="18"/>
      <c r="V524" s="19"/>
      <c r="Z524" s="28"/>
    </row>
    <row r="525" spans="19:26" x14ac:dyDescent="0.35">
      <c r="S525" s="12"/>
      <c r="U525" s="18"/>
      <c r="V525" s="19"/>
      <c r="Z525" s="28"/>
    </row>
    <row r="526" spans="19:26" x14ac:dyDescent="0.35">
      <c r="S526" s="12"/>
      <c r="U526" s="18"/>
      <c r="V526" s="19"/>
      <c r="Z526" s="28"/>
    </row>
    <row r="527" spans="19:26" x14ac:dyDescent="0.35">
      <c r="S527" s="12"/>
      <c r="U527" s="18"/>
      <c r="V527" s="19"/>
      <c r="Z527" s="28"/>
    </row>
    <row r="528" spans="19:26" x14ac:dyDescent="0.35">
      <c r="S528" s="12"/>
      <c r="U528" s="18"/>
      <c r="V528" s="19"/>
      <c r="Z528" s="28"/>
    </row>
    <row r="529" spans="19:26" x14ac:dyDescent="0.35">
      <c r="S529" s="12"/>
      <c r="U529" s="18"/>
      <c r="V529" s="19"/>
      <c r="Z529" s="28"/>
    </row>
    <row r="530" spans="19:26" x14ac:dyDescent="0.35">
      <c r="S530" s="12"/>
      <c r="U530" s="18"/>
      <c r="V530" s="19"/>
      <c r="Z530" s="28"/>
    </row>
    <row r="531" spans="19:26" x14ac:dyDescent="0.35">
      <c r="S531" s="12"/>
      <c r="U531" s="18"/>
      <c r="V531" s="19"/>
      <c r="Z531" s="28"/>
    </row>
    <row r="532" spans="19:26" x14ac:dyDescent="0.35">
      <c r="S532" s="12"/>
      <c r="U532" s="18"/>
      <c r="V532" s="19"/>
      <c r="Z532" s="28"/>
    </row>
    <row r="533" spans="19:26" x14ac:dyDescent="0.35">
      <c r="S533" s="12"/>
      <c r="U533" s="18"/>
      <c r="V533" s="19"/>
      <c r="Z533" s="28"/>
    </row>
    <row r="534" spans="19:26" x14ac:dyDescent="0.35">
      <c r="S534" s="12"/>
      <c r="U534" s="18"/>
      <c r="V534" s="19"/>
      <c r="Z534" s="28"/>
    </row>
    <row r="535" spans="19:26" x14ac:dyDescent="0.35">
      <c r="S535" s="12"/>
      <c r="U535" s="18"/>
      <c r="V535" s="19"/>
      <c r="Z535" s="28"/>
    </row>
    <row r="536" spans="19:26" x14ac:dyDescent="0.35">
      <c r="S536" s="12"/>
      <c r="U536" s="18"/>
      <c r="V536" s="19"/>
      <c r="Z536" s="28"/>
    </row>
    <row r="537" spans="19:26" x14ac:dyDescent="0.35">
      <c r="S537" s="12"/>
      <c r="U537" s="18"/>
      <c r="V537" s="19"/>
      <c r="Z537" s="28"/>
    </row>
    <row r="538" spans="19:26" x14ac:dyDescent="0.35">
      <c r="S538" s="12"/>
      <c r="U538" s="18"/>
      <c r="V538" s="19"/>
      <c r="Z538" s="28"/>
    </row>
    <row r="539" spans="19:26" x14ac:dyDescent="0.35">
      <c r="Z539" s="29"/>
    </row>
    <row r="540" spans="19:26" x14ac:dyDescent="0.35">
      <c r="Z540" s="29"/>
    </row>
    <row r="541" spans="19:26" x14ac:dyDescent="0.35">
      <c r="Z541" s="29"/>
    </row>
    <row r="542" spans="19:26" x14ac:dyDescent="0.35">
      <c r="Z542" s="29"/>
    </row>
    <row r="543" spans="19:26" x14ac:dyDescent="0.35">
      <c r="Z543" s="29"/>
    </row>
    <row r="544" spans="19:26" x14ac:dyDescent="0.35">
      <c r="Z544" s="29"/>
    </row>
    <row r="545" spans="26:26" x14ac:dyDescent="0.35">
      <c r="Z545" s="29"/>
    </row>
    <row r="546" spans="26:26" x14ac:dyDescent="0.35">
      <c r="Z546" s="29"/>
    </row>
    <row r="547" spans="26:26" x14ac:dyDescent="0.35">
      <c r="Z547" s="29"/>
    </row>
    <row r="548" spans="26:26" x14ac:dyDescent="0.35">
      <c r="Z548" s="29"/>
    </row>
    <row r="549" spans="26:26" x14ac:dyDescent="0.35">
      <c r="Z549" s="29"/>
    </row>
    <row r="550" spans="26:26" x14ac:dyDescent="0.35">
      <c r="Z550" s="29"/>
    </row>
    <row r="551" spans="26:26" x14ac:dyDescent="0.35">
      <c r="Z551" s="29"/>
    </row>
    <row r="552" spans="26:26" x14ac:dyDescent="0.35">
      <c r="Z552" s="29"/>
    </row>
    <row r="553" spans="26:26" x14ac:dyDescent="0.35">
      <c r="Z553" s="29"/>
    </row>
    <row r="554" spans="26:26" x14ac:dyDescent="0.35">
      <c r="Z554" s="29"/>
    </row>
    <row r="555" spans="26:26" x14ac:dyDescent="0.35">
      <c r="Z555" s="29"/>
    </row>
    <row r="556" spans="26:26" x14ac:dyDescent="0.35">
      <c r="Z556" s="29"/>
    </row>
    <row r="557" spans="26:26" x14ac:dyDescent="0.35">
      <c r="Z557" s="29"/>
    </row>
    <row r="558" spans="26:26" x14ac:dyDescent="0.35">
      <c r="Z558" s="29"/>
    </row>
    <row r="559" spans="26:26" x14ac:dyDescent="0.35">
      <c r="Z559" s="29"/>
    </row>
    <row r="560" spans="26:26" x14ac:dyDescent="0.35">
      <c r="Z560" s="29"/>
    </row>
    <row r="561" spans="26:26" x14ac:dyDescent="0.35">
      <c r="Z561" s="29"/>
    </row>
    <row r="562" spans="26:26" x14ac:dyDescent="0.35">
      <c r="Z562" s="29"/>
    </row>
    <row r="563" spans="26:26" x14ac:dyDescent="0.35">
      <c r="Z563" s="29"/>
    </row>
    <row r="564" spans="26:26" x14ac:dyDescent="0.35">
      <c r="Z564" s="29"/>
    </row>
    <row r="565" spans="26:26" x14ac:dyDescent="0.35">
      <c r="Z565" s="29"/>
    </row>
    <row r="566" spans="26:26" x14ac:dyDescent="0.35">
      <c r="Z566" s="29"/>
    </row>
    <row r="567" spans="26:26" x14ac:dyDescent="0.35">
      <c r="Z567" s="29"/>
    </row>
    <row r="568" spans="26:26" x14ac:dyDescent="0.35">
      <c r="Z568" s="29"/>
    </row>
    <row r="569" spans="26:26" x14ac:dyDescent="0.35">
      <c r="Z569" s="29"/>
    </row>
    <row r="570" spans="26:26" x14ac:dyDescent="0.35">
      <c r="Z570" s="29"/>
    </row>
    <row r="571" spans="26:26" x14ac:dyDescent="0.35">
      <c r="Z571" s="29"/>
    </row>
    <row r="572" spans="26:26" x14ac:dyDescent="0.35">
      <c r="Z572" s="29"/>
    </row>
    <row r="573" spans="26:26" x14ac:dyDescent="0.35">
      <c r="Z573" s="29"/>
    </row>
    <row r="574" spans="26:26" x14ac:dyDescent="0.35">
      <c r="Z574" s="29"/>
    </row>
    <row r="575" spans="26:26" x14ac:dyDescent="0.35">
      <c r="Z575" s="29"/>
    </row>
    <row r="576" spans="26:26" x14ac:dyDescent="0.35">
      <c r="Z576" s="29"/>
    </row>
    <row r="577" spans="26:26" x14ac:dyDescent="0.35">
      <c r="Z577" s="29"/>
    </row>
    <row r="578" spans="26:26" x14ac:dyDescent="0.35">
      <c r="Z578" s="29"/>
    </row>
    <row r="579" spans="26:26" x14ac:dyDescent="0.35">
      <c r="Z579" s="29"/>
    </row>
    <row r="580" spans="26:26" x14ac:dyDescent="0.35">
      <c r="Z580" s="29"/>
    </row>
    <row r="581" spans="26:26" x14ac:dyDescent="0.35">
      <c r="Z581" s="29"/>
    </row>
    <row r="582" spans="26:26" x14ac:dyDescent="0.35">
      <c r="Z582" s="29"/>
    </row>
    <row r="583" spans="26:26" x14ac:dyDescent="0.35">
      <c r="Z583" s="29"/>
    </row>
    <row r="584" spans="26:26" x14ac:dyDescent="0.35">
      <c r="Z584" s="29"/>
    </row>
    <row r="585" spans="26:26" x14ac:dyDescent="0.35">
      <c r="Z585" s="29"/>
    </row>
    <row r="586" spans="26:26" x14ac:dyDescent="0.35">
      <c r="Z586" s="29"/>
    </row>
    <row r="587" spans="26:26" x14ac:dyDescent="0.35">
      <c r="Z587" s="29"/>
    </row>
    <row r="588" spans="26:26" x14ac:dyDescent="0.35">
      <c r="Z588" s="29"/>
    </row>
    <row r="589" spans="26:26" x14ac:dyDescent="0.35">
      <c r="Z589" s="29"/>
    </row>
    <row r="590" spans="26:26" x14ac:dyDescent="0.35">
      <c r="Z590" s="29"/>
    </row>
    <row r="591" spans="26:26" x14ac:dyDescent="0.35">
      <c r="Z591" s="29"/>
    </row>
    <row r="592" spans="26:26" x14ac:dyDescent="0.35">
      <c r="Z592" s="29"/>
    </row>
    <row r="593" spans="26:26" x14ac:dyDescent="0.35">
      <c r="Z593" s="29"/>
    </row>
    <row r="594" spans="26:26" x14ac:dyDescent="0.35">
      <c r="Z594" s="29"/>
    </row>
    <row r="595" spans="26:26" x14ac:dyDescent="0.35">
      <c r="Z595" s="29"/>
    </row>
    <row r="596" spans="26:26" x14ac:dyDescent="0.35">
      <c r="Z596" s="29"/>
    </row>
    <row r="597" spans="26:26" x14ac:dyDescent="0.35">
      <c r="Z597" s="29"/>
    </row>
    <row r="598" spans="26:26" x14ac:dyDescent="0.35">
      <c r="Z598" s="29"/>
    </row>
    <row r="599" spans="26:26" x14ac:dyDescent="0.35">
      <c r="Z599" s="29"/>
    </row>
    <row r="600" spans="26:26" x14ac:dyDescent="0.35">
      <c r="Z600" s="29"/>
    </row>
    <row r="601" spans="26:26" x14ac:dyDescent="0.35">
      <c r="Z601" s="29"/>
    </row>
    <row r="602" spans="26:26" x14ac:dyDescent="0.35">
      <c r="Z602" s="29"/>
    </row>
    <row r="603" spans="26:26" x14ac:dyDescent="0.35">
      <c r="Z603" s="29"/>
    </row>
    <row r="604" spans="26:26" x14ac:dyDescent="0.35">
      <c r="Z604" s="29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7"/>
  <sheetViews>
    <sheetView workbookViewId="0">
      <selection activeCell="B3" sqref="B3"/>
    </sheetView>
  </sheetViews>
  <sheetFormatPr defaultRowHeight="14.5" x14ac:dyDescent="0.35"/>
  <cols>
    <col min="2" max="2" width="18.453125" customWidth="1"/>
    <col min="21" max="21" width="11.26953125" customWidth="1"/>
    <col min="22" max="22" width="19.81640625" customWidth="1"/>
    <col min="27" max="27" width="17.54296875" bestFit="1" customWidth="1"/>
    <col min="28" max="29" width="12.7265625" bestFit="1" customWidth="1"/>
    <col min="30" max="30" width="12.7265625" customWidth="1"/>
    <col min="31" max="31" width="10.54296875" bestFit="1" customWidth="1"/>
    <col min="32" max="33" width="17.54296875" bestFit="1" customWidth="1"/>
    <col min="36" max="37" width="17.54296875" bestFit="1" customWidth="1"/>
  </cols>
  <sheetData>
    <row r="1" spans="1:37" x14ac:dyDescent="0.35">
      <c r="Z1" t="s">
        <v>19</v>
      </c>
      <c r="AA1" s="22">
        <v>1</v>
      </c>
      <c r="AB1" t="s">
        <v>22</v>
      </c>
      <c r="AC1" s="31" t="e">
        <f>(1+COS($AB$4))/2</f>
        <v>#VALUE!</v>
      </c>
      <c r="AE1" t="s">
        <v>42</v>
      </c>
      <c r="AF1" s="22">
        <f>AA2^2-4*AA1*AA3</f>
        <v>-1.6889494680834005E-3</v>
      </c>
      <c r="AG1" s="22">
        <f>B16^2-4*B15*B17</f>
        <v>-2.3857045346580286E-3</v>
      </c>
      <c r="AI1" t="s">
        <v>48</v>
      </c>
      <c r="AJ1" s="22">
        <f>IF(AF1&lt;0,AF5,AF2)</f>
        <v>0.98785145469575997</v>
      </c>
      <c r="AK1" s="22">
        <f>IF(AF1&lt;0,AF5,AF2)</f>
        <v>0.98785145469575997</v>
      </c>
    </row>
    <row r="2" spans="1:37" x14ac:dyDescent="0.35">
      <c r="A2" s="1" t="s">
        <v>56</v>
      </c>
      <c r="B2" s="6"/>
      <c r="Z2" t="s">
        <v>20</v>
      </c>
      <c r="AA2" s="22">
        <f>ROUND(-B12,14)</f>
        <v>-1.9757029093915199</v>
      </c>
      <c r="AB2" t="s">
        <v>23</v>
      </c>
      <c r="AC2" s="31" t="e">
        <f>1+COS($AB$4)</f>
        <v>#VALUE!</v>
      </c>
      <c r="AE2" t="s">
        <v>43</v>
      </c>
      <c r="AF2" s="22" t="e">
        <f>(-AA2-SQRT(AF1))/2*AA1</f>
        <v>#NUM!</v>
      </c>
      <c r="AG2" s="22" t="e">
        <f>(-B16-SQRT(AG1))/2*B15</f>
        <v>#NUM!</v>
      </c>
      <c r="AJ2" s="22">
        <f>IF(AF1&lt;0,AF6,0)</f>
        <v>2.0548415194872088E-2</v>
      </c>
      <c r="AK2" s="22">
        <f>IF(AF1&lt;0,-AF6,0)</f>
        <v>-2.0548415194872088E-2</v>
      </c>
    </row>
    <row r="3" spans="1:37" x14ac:dyDescent="0.35">
      <c r="A3" t="s">
        <v>50</v>
      </c>
      <c r="B3" s="26">
        <v>200</v>
      </c>
      <c r="C3" t="s">
        <v>4</v>
      </c>
      <c r="Z3" t="s">
        <v>21</v>
      </c>
      <c r="AA3" s="22">
        <f>ROUND(-B13,14)</f>
        <v>0.97627273391155001</v>
      </c>
      <c r="AB3" t="s">
        <v>24</v>
      </c>
      <c r="AC3" s="31" t="e">
        <f>(1+COS($AB$4))/2</f>
        <v>#VALUE!</v>
      </c>
      <c r="AE3" t="s">
        <v>44</v>
      </c>
      <c r="AF3" s="22" t="e">
        <f>(-AA2-SQRT(AF1))/2*AA1</f>
        <v>#NUM!</v>
      </c>
      <c r="AG3" s="22" t="e">
        <f>(-B16-SQRT(AG1))/2*B15</f>
        <v>#NUM!</v>
      </c>
    </row>
    <row r="4" spans="1:37" x14ac:dyDescent="0.35">
      <c r="A4" t="s">
        <v>51</v>
      </c>
      <c r="B4" s="26">
        <v>1</v>
      </c>
      <c r="AB4" t="s">
        <v>52</v>
      </c>
      <c r="AC4">
        <f>2*PI()*$B$3/($B$7*4)</f>
        <v>6.5449846949787362E-3</v>
      </c>
      <c r="AF4" s="22"/>
      <c r="AG4" s="22"/>
      <c r="AI4" t="s">
        <v>49</v>
      </c>
      <c r="AJ4" s="22">
        <f>IF(AG1&lt;0,AG5,AG2)</f>
        <v>0.98553080453953334</v>
      </c>
      <c r="AK4" s="22">
        <f>IF(AG1&lt;0,AG5,AG2)</f>
        <v>0.98553080453953334</v>
      </c>
    </row>
    <row r="5" spans="1:37" x14ac:dyDescent="0.35">
      <c r="A5" t="s">
        <v>65</v>
      </c>
      <c r="B5" s="26">
        <v>3</v>
      </c>
      <c r="C5" t="s">
        <v>14</v>
      </c>
      <c r="AB5" t="s">
        <v>53</v>
      </c>
      <c r="AC5">
        <f>SIN($B$22)/(2*$B$4)</f>
        <v>1.3088474153936576E-2</v>
      </c>
      <c r="AE5" t="s">
        <v>45</v>
      </c>
      <c r="AF5" s="22">
        <f>-AA2/(2*AA1)</f>
        <v>0.98785145469575997</v>
      </c>
      <c r="AG5" s="22">
        <f>-B16/(2*B15)</f>
        <v>0.98553080453953334</v>
      </c>
      <c r="AH5" s="1"/>
      <c r="AJ5" s="22">
        <f>IF(AG1&lt;0,AG6,0)</f>
        <v>2.4365915266971381E-2</v>
      </c>
      <c r="AK5" s="22">
        <f>IF(AG1&lt;0,-AG6,0)</f>
        <v>-2.4365915266971381E-2</v>
      </c>
    </row>
    <row r="6" spans="1:37" x14ac:dyDescent="0.35">
      <c r="S6" s="5" t="s">
        <v>11</v>
      </c>
      <c r="T6" s="17" t="s">
        <v>36</v>
      </c>
      <c r="U6" s="17" t="s">
        <v>35</v>
      </c>
      <c r="V6" s="17" t="s">
        <v>38</v>
      </c>
      <c r="W6" s="17"/>
      <c r="X6" s="17"/>
      <c r="Y6" s="17"/>
      <c r="AE6" t="s">
        <v>46</v>
      </c>
      <c r="AF6" s="22">
        <f>SQRT(-AF1)/(2*AA1)</f>
        <v>2.0548415194872088E-2</v>
      </c>
      <c r="AG6" s="22">
        <f>SQRT(-AG1)/(2*B15)</f>
        <v>2.4365915266971381E-2</v>
      </c>
    </row>
    <row r="7" spans="1:37" x14ac:dyDescent="0.35">
      <c r="A7" t="s">
        <v>16</v>
      </c>
      <c r="B7" s="6">
        <v>48000</v>
      </c>
      <c r="C7" t="s">
        <v>4</v>
      </c>
      <c r="S7" s="7" t="s">
        <v>4</v>
      </c>
      <c r="V7" s="17" t="s">
        <v>14</v>
      </c>
      <c r="W7" s="16"/>
      <c r="X7" s="16"/>
      <c r="Y7" s="16"/>
      <c r="AE7" t="s">
        <v>47</v>
      </c>
      <c r="AF7" s="22">
        <f>SQRT(AF5^2+AF6^2)</f>
        <v>0.98806514659284994</v>
      </c>
    </row>
    <row r="8" spans="1:37" x14ac:dyDescent="0.35">
      <c r="B8" s="6"/>
      <c r="S8" s="9">
        <v>10</v>
      </c>
      <c r="T8">
        <f t="shared" ref="T8:T39" si="0">2*PI()*S8/$B$7</f>
        <v>1.308996938995747E-3</v>
      </c>
      <c r="U8" s="18">
        <f t="shared" ref="U8:U39" si="1">4*SIN(T8/2)^2</f>
        <v>1.7134727416344432E-6</v>
      </c>
      <c r="V8" s="19">
        <f t="shared" ref="V8:V39" si="2">10*LOG10(($B$15+$B$16+$B$17)^2 + ( $B$15*$B$17*U8 - ($B$16*($B$15+$B$17) + 4*$B$15*$B$17) )*U8 )  - 10*LOG10( (1+$AA$2+$AA$3)^2 + ( 1*$AA$3*U8 - ($AA$2*(1+$AA$3) + 4*1*$AA$3) )*U8)</f>
        <v>3.0037586285572075</v>
      </c>
      <c r="Y8" s="27"/>
      <c r="AD8" s="27"/>
      <c r="AF8" s="22"/>
    </row>
    <row r="9" spans="1:37" x14ac:dyDescent="0.35">
      <c r="A9" s="33" t="s">
        <v>54</v>
      </c>
      <c r="B9" s="33"/>
      <c r="C9" s="33"/>
      <c r="D9" s="1"/>
      <c r="S9" s="12">
        <f t="shared" ref="S9:S40" si="3">S8*2^(1/8)</f>
        <v>10.905077326652577</v>
      </c>
      <c r="T9">
        <f t="shared" si="0"/>
        <v>1.427471284010015E-3</v>
      </c>
      <c r="U9" s="18">
        <f t="shared" si="1"/>
        <v>2.0376739206635231E-6</v>
      </c>
      <c r="V9" s="19">
        <f t="shared" si="2"/>
        <v>3.0044676127378835</v>
      </c>
      <c r="AD9" s="27"/>
      <c r="AF9" s="22">
        <f>IF(AF1&lt;0,AF7,AF2)</f>
        <v>0.98806514659284994</v>
      </c>
    </row>
    <row r="10" spans="1:37" x14ac:dyDescent="0.35">
      <c r="A10" s="33" t="s">
        <v>55</v>
      </c>
      <c r="B10" s="33"/>
      <c r="C10" s="33"/>
      <c r="S10" s="12">
        <f t="shared" si="3"/>
        <v>11.892071150027212</v>
      </c>
      <c r="T10">
        <f t="shared" si="0"/>
        <v>1.5566684733705255E-3</v>
      </c>
      <c r="U10" s="18">
        <f t="shared" si="1"/>
        <v>2.4232162466541498E-6</v>
      </c>
      <c r="V10" s="19">
        <f t="shared" si="2"/>
        <v>3.00530983433746</v>
      </c>
      <c r="AD10" s="27"/>
    </row>
    <row r="11" spans="1:37" x14ac:dyDescent="0.35">
      <c r="A11" t="s">
        <v>19</v>
      </c>
      <c r="B11" s="23">
        <v>1</v>
      </c>
      <c r="S11" s="12">
        <f t="shared" si="3"/>
        <v>12.968395546510099</v>
      </c>
      <c r="T11">
        <f t="shared" si="0"/>
        <v>1.6975590074067798E-3</v>
      </c>
      <c r="U11" s="18">
        <f t="shared" si="1"/>
        <v>2.8817058916085552E-6</v>
      </c>
      <c r="V11" s="19">
        <f t="shared" si="2"/>
        <v>3.0063101225204534</v>
      </c>
      <c r="AD11" s="27"/>
    </row>
    <row r="12" spans="1:37" x14ac:dyDescent="0.35">
      <c r="A12" t="s">
        <v>20</v>
      </c>
      <c r="B12" s="20">
        <f>-(-2*((B21-1)+(B21+1)*COS(B22)))/B24</f>
        <v>1.9757029093915202</v>
      </c>
      <c r="S12" s="12">
        <f t="shared" si="3"/>
        <v>14.142135623730953</v>
      </c>
      <c r="T12">
        <f t="shared" si="0"/>
        <v>1.8512012242326529E-3</v>
      </c>
      <c r="U12" s="18">
        <f t="shared" si="1"/>
        <v>3.4269449939373591E-6</v>
      </c>
      <c r="V12" s="19">
        <f t="shared" si="2"/>
        <v>3.0074978437481548</v>
      </c>
      <c r="AD12" s="27"/>
    </row>
    <row r="13" spans="1:37" ht="15" customHeight="1" x14ac:dyDescent="0.35">
      <c r="A13" t="s">
        <v>21</v>
      </c>
      <c r="B13" s="20">
        <f>-((B21+1)+(B21-1)*COS(B22)-2*SQRT(B21)*B23)/B24</f>
        <v>-0.97627273391155356</v>
      </c>
      <c r="C13" s="25"/>
      <c r="S13" s="12">
        <f t="shared" si="3"/>
        <v>15.422108254079411</v>
      </c>
      <c r="T13">
        <f t="shared" si="0"/>
        <v>2.0187492497450994E-3</v>
      </c>
      <c r="U13" s="18">
        <f t="shared" si="1"/>
        <v>4.0753471493077851E-6</v>
      </c>
      <c r="V13" s="19">
        <f t="shared" si="2"/>
        <v>3.0089076916860478</v>
      </c>
      <c r="AD13" s="27"/>
    </row>
    <row r="14" spans="1:37" ht="15" customHeight="1" x14ac:dyDescent="0.35">
      <c r="B14" s="21"/>
      <c r="C14" s="25"/>
      <c r="S14" s="12">
        <f t="shared" si="3"/>
        <v>16.817928305074293</v>
      </c>
      <c r="T14">
        <f t="shared" si="0"/>
        <v>2.2014616671592185E-3</v>
      </c>
      <c r="U14" s="18">
        <f t="shared" si="1"/>
        <v>4.8464315146453117E-6</v>
      </c>
      <c r="V14" s="19">
        <f t="shared" si="2"/>
        <v>3.0105805967357284</v>
      </c>
      <c r="AD14" s="27"/>
    </row>
    <row r="15" spans="1:37" x14ac:dyDescent="0.35">
      <c r="A15" t="s">
        <v>22</v>
      </c>
      <c r="B15" s="20">
        <f>(B21*((B21+1)-(B21-1)*COS(B22)+2*SQRT(B21)*B23))/B24</f>
        <v>1.0022950897564218</v>
      </c>
      <c r="S15" s="12">
        <f t="shared" si="3"/>
        <v>18.340080864093427</v>
      </c>
      <c r="T15">
        <f t="shared" si="0"/>
        <v>2.4007109712032774E-3</v>
      </c>
      <c r="U15" s="18">
        <f t="shared" si="1"/>
        <v>5.7634103991787035E-6</v>
      </c>
      <c r="V15" s="19">
        <f t="shared" si="2"/>
        <v>3.0125647644873794</v>
      </c>
      <c r="AD15" s="27"/>
    </row>
    <row r="16" spans="1:37" x14ac:dyDescent="0.35">
      <c r="A16" t="s">
        <v>23</v>
      </c>
      <c r="B16" s="20">
        <f>(2*B21*((B21-1)-(B21+1)*COS(B22)))/B24</f>
        <v>-1.9755853723873402</v>
      </c>
      <c r="S16" s="12">
        <f t="shared" si="3"/>
        <v>20.000000000000004</v>
      </c>
      <c r="T16">
        <f t="shared" si="0"/>
        <v>2.6179938779914949E-3</v>
      </c>
      <c r="U16" s="18">
        <f t="shared" si="1"/>
        <v>6.8538880305489414E-6</v>
      </c>
      <c r="V16" s="19">
        <f t="shared" si="2"/>
        <v>3.0149168479473474</v>
      </c>
      <c r="AD16" s="27"/>
    </row>
    <row r="17" spans="1:30" x14ac:dyDescent="0.35">
      <c r="A17" t="s">
        <v>24</v>
      </c>
      <c r="B17" s="20">
        <f>(B21*((B21+1)-(B21-1)*COS(B22)-2*SQRT(B21)*B23))/B24</f>
        <v>0.97409518115931237</v>
      </c>
      <c r="S17" s="12">
        <f t="shared" si="3"/>
        <v>21.810154653305158</v>
      </c>
      <c r="T17">
        <f t="shared" si="0"/>
        <v>2.8549425680200304E-3</v>
      </c>
      <c r="U17" s="18">
        <f t="shared" si="1"/>
        <v>8.1506915305390883E-6</v>
      </c>
      <c r="V17" s="19">
        <f t="shared" si="2"/>
        <v>3.0177032500714631</v>
      </c>
      <c r="AD17" s="27"/>
    </row>
    <row r="18" spans="1:30" x14ac:dyDescent="0.35">
      <c r="S18" s="12">
        <f t="shared" si="3"/>
        <v>23.784142300054427</v>
      </c>
      <c r="T18">
        <f t="shared" si="0"/>
        <v>3.1133369467410514E-3</v>
      </c>
      <c r="U18" s="18">
        <f t="shared" si="1"/>
        <v>9.6928591146396239E-6</v>
      </c>
      <c r="V18" s="19">
        <f t="shared" si="2"/>
        <v>3.0210015386120403</v>
      </c>
      <c r="AD18" s="27"/>
    </row>
    <row r="19" spans="1:30" x14ac:dyDescent="0.35">
      <c r="A19" t="s">
        <v>34</v>
      </c>
      <c r="B19" s="24" t="str">
        <f>IF(ABS(AF9)&lt;1,"Stable","Not stable")</f>
        <v>Stable</v>
      </c>
      <c r="S19" s="12">
        <f t="shared" si="3"/>
        <v>25.936791093020201</v>
      </c>
      <c r="T19">
        <f t="shared" si="0"/>
        <v>3.39511801481356E-3</v>
      </c>
      <c r="U19" s="18">
        <f t="shared" si="1"/>
        <v>1.1526815262205378E-5</v>
      </c>
      <c r="V19" s="19">
        <f t="shared" si="2"/>
        <v>3.0249019309094152</v>
      </c>
      <c r="AD19" s="27"/>
    </row>
    <row r="20" spans="1:30" x14ac:dyDescent="0.35">
      <c r="S20" s="12">
        <f t="shared" si="3"/>
        <v>28.284271247461909</v>
      </c>
      <c r="T20">
        <f t="shared" si="0"/>
        <v>3.7024024484653062E-3</v>
      </c>
      <c r="U20" s="18">
        <f t="shared" si="1"/>
        <v>1.3707768231797451E-5</v>
      </c>
      <c r="V20" s="19">
        <f t="shared" si="2"/>
        <v>3.0295087662669005</v>
      </c>
      <c r="AD20" s="27"/>
    </row>
    <row r="21" spans="1:30" x14ac:dyDescent="0.35">
      <c r="A21" s="32" t="s">
        <v>66</v>
      </c>
      <c r="B21">
        <f>10^(B5/40)</f>
        <v>1.1885022274370185</v>
      </c>
      <c r="S21" s="12">
        <f t="shared" si="3"/>
        <v>30.844216508158826</v>
      </c>
      <c r="T21">
        <f t="shared" si="0"/>
        <v>4.0374984994901997E-3</v>
      </c>
      <c r="U21" s="18">
        <f t="shared" si="1"/>
        <v>1.6301371988776759E-5</v>
      </c>
      <c r="V21" s="19">
        <f t="shared" si="2"/>
        <v>3.034941818792376</v>
      </c>
      <c r="AD21" s="27"/>
    </row>
    <row r="22" spans="1:30" x14ac:dyDescent="0.35">
      <c r="A22" t="s">
        <v>52</v>
      </c>
      <c r="B22">
        <f>2*PI()*B3/B7</f>
        <v>2.6179938779914945E-2</v>
      </c>
      <c r="S22" s="12">
        <f t="shared" si="3"/>
        <v>33.635856610148593</v>
      </c>
      <c r="T22">
        <f t="shared" si="0"/>
        <v>4.4029233343184379E-3</v>
      </c>
      <c r="U22" s="18">
        <f t="shared" si="1"/>
        <v>1.9385702570682833E-5</v>
      </c>
      <c r="V22" s="19">
        <f t="shared" si="2"/>
        <v>3.0413371994616085</v>
      </c>
      <c r="AD22" s="27"/>
    </row>
    <row r="23" spans="1:30" x14ac:dyDescent="0.35">
      <c r="A23" t="s">
        <v>53</v>
      </c>
      <c r="B23">
        <f>SIN(B22)/(2*B4)</f>
        <v>1.3088474153936576E-2</v>
      </c>
      <c r="S23" s="12">
        <f t="shared" si="3"/>
        <v>36.68016172818686</v>
      </c>
      <c r="T23">
        <f t="shared" si="0"/>
        <v>4.8014219424065549E-3</v>
      </c>
      <c r="U23" s="18">
        <f t="shared" si="1"/>
        <v>2.3053608379815388E-5</v>
      </c>
      <c r="V23" s="19">
        <f t="shared" si="2"/>
        <v>3.0488474291954546</v>
      </c>
      <c r="AD23" s="27"/>
    </row>
    <row r="24" spans="1:30" x14ac:dyDescent="0.35">
      <c r="A24" t="s">
        <v>19</v>
      </c>
      <c r="B24">
        <f>(B21+1)+(B21-1)*COS(B22)+2*SQRT(B21)*B23</f>
        <v>2.4054775629718526</v>
      </c>
      <c r="S24" s="12">
        <f t="shared" si="3"/>
        <v>40.000000000000014</v>
      </c>
      <c r="T24">
        <f t="shared" si="0"/>
        <v>5.2359877559829907E-3</v>
      </c>
      <c r="U24" s="18">
        <f t="shared" si="1"/>
        <v>2.7415505146414638E-5</v>
      </c>
      <c r="V24" s="19">
        <f t="shared" si="2"/>
        <v>3.0576399970181001</v>
      </c>
      <c r="AD24" s="27"/>
    </row>
    <row r="25" spans="1:30" x14ac:dyDescent="0.35">
      <c r="S25" s="12">
        <f t="shared" si="3"/>
        <v>43.620309306610324</v>
      </c>
      <c r="T25">
        <f t="shared" si="0"/>
        <v>5.7098851360400608E-3</v>
      </c>
      <c r="U25" s="18">
        <f t="shared" si="1"/>
        <v>3.2602699688383923E-5</v>
      </c>
      <c r="V25" s="19">
        <f t="shared" si="2"/>
        <v>3.0678932872896496</v>
      </c>
      <c r="AD25" s="27"/>
    </row>
    <row r="26" spans="1:30" x14ac:dyDescent="0.35">
      <c r="S26" s="12">
        <f t="shared" si="3"/>
        <v>47.568284600108861</v>
      </c>
      <c r="T26">
        <f t="shared" si="0"/>
        <v>6.2266738934821028E-3</v>
      </c>
      <c r="U26" s="18">
        <f t="shared" si="1"/>
        <v>3.8771342507040672E-5</v>
      </c>
      <c r="V26" s="19">
        <f t="shared" si="2"/>
        <v>3.0797880672204627</v>
      </c>
      <c r="AD26" s="27"/>
    </row>
    <row r="27" spans="1:30" x14ac:dyDescent="0.35">
      <c r="S27" s="12">
        <f t="shared" si="3"/>
        <v>51.873582186040409</v>
      </c>
      <c r="T27">
        <f t="shared" si="0"/>
        <v>6.7902360296271218E-3</v>
      </c>
      <c r="U27" s="18">
        <f t="shared" si="1"/>
        <v>4.6107128181351442E-5</v>
      </c>
      <c r="V27" s="19">
        <f t="shared" si="2"/>
        <v>3.0934916068474223</v>
      </c>
      <c r="AD27" s="27"/>
    </row>
    <row r="28" spans="1:30" x14ac:dyDescent="0.35">
      <c r="S28" s="12">
        <f t="shared" si="3"/>
        <v>56.568542494923825</v>
      </c>
      <c r="T28">
        <f t="shared" si="0"/>
        <v>7.4048048969306141E-3</v>
      </c>
      <c r="U28" s="18">
        <f t="shared" si="1"/>
        <v>5.4830885024279924E-5</v>
      </c>
      <c r="V28" s="19">
        <f t="shared" si="2"/>
        <v>3.109129693317783</v>
      </c>
      <c r="AD28" s="27"/>
    </row>
    <row r="29" spans="1:30" x14ac:dyDescent="0.35">
      <c r="S29" s="12">
        <f t="shared" si="3"/>
        <v>61.68843301631766</v>
      </c>
      <c r="T29">
        <f t="shared" si="0"/>
        <v>8.0749969989804011E-3</v>
      </c>
      <c r="U29" s="18">
        <f t="shared" si="1"/>
        <v>6.5205222220378339E-5</v>
      </c>
      <c r="V29" s="19">
        <f t="shared" si="2"/>
        <v>3.1267388763019781</v>
      </c>
      <c r="AD29" s="27"/>
    </row>
    <row r="30" spans="1:30" x14ac:dyDescent="0.35">
      <c r="S30" s="12">
        <f t="shared" si="3"/>
        <v>67.271713220297201</v>
      </c>
      <c r="T30">
        <f t="shared" si="0"/>
        <v>8.8058466686368776E-3</v>
      </c>
      <c r="U30" s="18">
        <f t="shared" si="1"/>
        <v>7.7542434477267176E-5</v>
      </c>
      <c r="V30" s="19">
        <f t="shared" si="2"/>
        <v>3.1461865866207575</v>
      </c>
      <c r="AD30" s="27"/>
    </row>
    <row r="31" spans="1:30" x14ac:dyDescent="0.35">
      <c r="S31" s="12">
        <f t="shared" si="3"/>
        <v>73.360323456373735</v>
      </c>
      <c r="T31">
        <f t="shared" si="0"/>
        <v>9.6028438848131132E-3</v>
      </c>
      <c r="U31" s="18">
        <f t="shared" si="1"/>
        <v>9.2213902050402276E-5</v>
      </c>
      <c r="V31" s="19">
        <f t="shared" si="2"/>
        <v>3.1670393585498076</v>
      </c>
      <c r="AD31" s="27"/>
    </row>
    <row r="32" spans="1:30" x14ac:dyDescent="0.35">
      <c r="S32" s="12">
        <f t="shared" si="3"/>
        <v>80.000000000000043</v>
      </c>
      <c r="T32">
        <f t="shared" si="0"/>
        <v>1.0471975511965983E-2</v>
      </c>
      <c r="U32" s="18">
        <f t="shared" si="1"/>
        <v>1.0966126897573617E-4</v>
      </c>
      <c r="V32" s="19">
        <f t="shared" si="2"/>
        <v>3.1883480905140402</v>
      </c>
      <c r="AD32" s="27"/>
    </row>
    <row r="33" spans="19:30" x14ac:dyDescent="0.35">
      <c r="S33" s="12">
        <f t="shared" si="3"/>
        <v>87.240618613220661</v>
      </c>
      <c r="T33">
        <f t="shared" si="0"/>
        <v>1.1419770272080123E-2</v>
      </c>
      <c r="U33" s="18">
        <f t="shared" si="1"/>
        <v>1.3040973581750876E-4</v>
      </c>
      <c r="V33" s="19">
        <f t="shared" si="2"/>
        <v>3.2083032985640472</v>
      </c>
      <c r="AD33" s="27"/>
    </row>
    <row r="34" spans="19:30" x14ac:dyDescent="0.35">
      <c r="S34" s="12">
        <f t="shared" si="3"/>
        <v>95.136569200217735</v>
      </c>
      <c r="T34">
        <f t="shared" si="0"/>
        <v>1.2453347786964209E-2</v>
      </c>
      <c r="U34" s="18">
        <f t="shared" si="1"/>
        <v>1.5508386681116297E-4</v>
      </c>
      <c r="V34" s="19">
        <f t="shared" si="2"/>
        <v>3.2236943880495232</v>
      </c>
      <c r="AD34" s="27"/>
    </row>
    <row r="35" spans="19:30" x14ac:dyDescent="0.35">
      <c r="S35" s="12">
        <f t="shared" si="3"/>
        <v>103.74716437208083</v>
      </c>
      <c r="T35">
        <f t="shared" si="0"/>
        <v>1.3580472059254244E-2</v>
      </c>
      <c r="U35" s="18">
        <f t="shared" si="1"/>
        <v>1.8442638685813666E-4</v>
      </c>
      <c r="V35" s="19">
        <f t="shared" si="2"/>
        <v>3.2290957373451619</v>
      </c>
      <c r="AD35" s="27"/>
    </row>
    <row r="36" spans="19:30" x14ac:dyDescent="0.35">
      <c r="S36" s="12">
        <f t="shared" si="3"/>
        <v>113.13708498984766</v>
      </c>
      <c r="T36">
        <f t="shared" si="0"/>
        <v>1.4809609793861228E-2</v>
      </c>
      <c r="U36" s="18">
        <f t="shared" si="1"/>
        <v>2.1932053367116719E-4</v>
      </c>
      <c r="V36" s="19">
        <f t="shared" si="2"/>
        <v>3.2157341899091705</v>
      </c>
      <c r="AD36" s="27"/>
    </row>
    <row r="37" spans="19:30" x14ac:dyDescent="0.35">
      <c r="S37" s="12">
        <f t="shared" si="3"/>
        <v>123.37686603263533</v>
      </c>
      <c r="T37">
        <f t="shared" si="0"/>
        <v>1.6149993997960802E-2</v>
      </c>
      <c r="U37" s="18">
        <f t="shared" si="1"/>
        <v>2.6081663716050852E-4</v>
      </c>
      <c r="V37" s="19">
        <f t="shared" si="2"/>
        <v>3.170158013205338</v>
      </c>
      <c r="AD37" s="27"/>
    </row>
    <row r="38" spans="19:30" x14ac:dyDescent="0.35">
      <c r="S38" s="12">
        <f t="shared" si="3"/>
        <v>134.5434264405944</v>
      </c>
      <c r="T38">
        <f t="shared" si="0"/>
        <v>1.7611693337273755E-2</v>
      </c>
      <c r="U38" s="18">
        <f t="shared" si="1"/>
        <v>3.1016372507992407E-4</v>
      </c>
      <c r="V38" s="19">
        <f t="shared" si="2"/>
        <v>3.0733018757798902</v>
      </c>
      <c r="AD38" s="27"/>
    </row>
    <row r="39" spans="19:30" x14ac:dyDescent="0.35">
      <c r="S39" s="12">
        <f t="shared" si="3"/>
        <v>146.72064691274747</v>
      </c>
      <c r="T39">
        <f t="shared" si="0"/>
        <v>1.9205687769626226E-2</v>
      </c>
      <c r="U39" s="18">
        <f t="shared" si="1"/>
        <v>3.6884710479787779E-4</v>
      </c>
      <c r="V39" s="19">
        <f t="shared" si="2"/>
        <v>2.9014991407904276</v>
      </c>
      <c r="AD39" s="27"/>
    </row>
    <row r="40" spans="19:30" x14ac:dyDescent="0.35">
      <c r="S40" s="12">
        <f t="shared" si="3"/>
        <v>160.00000000000009</v>
      </c>
      <c r="T40">
        <f t="shared" ref="T40:T71" si="4">2*PI()*S40/$B$7</f>
        <v>2.0943951023931966E-2</v>
      </c>
      <c r="U40" s="18">
        <f t="shared" ref="U40:U71" si="5">4*SIN(T40/2)^2</f>
        <v>4.3863305030903126E-4</v>
      </c>
      <c r="V40" s="19">
        <f t="shared" ref="V40:V71" si="6">10*LOG10(($B$15+$B$16+$B$17)^2 + ( $B$15*$B$17*U40 - ($B$16*($B$15+$B$17) + 4*$B$15*$B$17) )*U40 )  - 10*LOG10( (1+$AA$2+$AA$3)^2 + ( 1*$AA$3*U40 - ($AA$2*(1+$AA$3) + 4*1*$AA$3) )*U40)</f>
        <v>2.6320784716143208</v>
      </c>
      <c r="AD40" s="27"/>
    </row>
    <row r="41" spans="19:30" x14ac:dyDescent="0.35">
      <c r="S41" s="12">
        <f t="shared" ref="S41:S72" si="7">S40*2^(1/8)</f>
        <v>174.48123722644132</v>
      </c>
      <c r="T41">
        <f t="shared" si="4"/>
        <v>2.2839540544160247E-2</v>
      </c>
      <c r="U41" s="18">
        <f t="shared" si="5"/>
        <v>5.21621936570839E-4</v>
      </c>
      <c r="V41" s="19">
        <f t="shared" si="6"/>
        <v>2.2554297134500203</v>
      </c>
      <c r="AD41" s="27"/>
    </row>
    <row r="42" spans="19:30" x14ac:dyDescent="0.35">
      <c r="S42" s="12">
        <f t="shared" si="7"/>
        <v>190.27313840043547</v>
      </c>
      <c r="T42">
        <f t="shared" si="4"/>
        <v>2.4906695573928418E-2</v>
      </c>
      <c r="U42" s="18">
        <f t="shared" si="5"/>
        <v>6.2031141623890697E-4</v>
      </c>
      <c r="V42" s="19">
        <f t="shared" si="6"/>
        <v>1.7896853506792993</v>
      </c>
      <c r="AD42" s="27"/>
    </row>
    <row r="43" spans="19:30" x14ac:dyDescent="0.35">
      <c r="S43" s="12">
        <f t="shared" si="7"/>
        <v>207.49432874416166</v>
      </c>
      <c r="T43">
        <f t="shared" si="4"/>
        <v>2.7160944118508487E-2</v>
      </c>
      <c r="U43" s="18">
        <f t="shared" si="5"/>
        <v>7.3767153434037692E-4</v>
      </c>
      <c r="V43" s="19">
        <f t="shared" si="6"/>
        <v>1.2855019244849046</v>
      </c>
      <c r="AD43" s="27"/>
    </row>
    <row r="44" spans="19:30" x14ac:dyDescent="0.35">
      <c r="S44" s="12">
        <f t="shared" si="7"/>
        <v>226.27416997969533</v>
      </c>
      <c r="T44">
        <f t="shared" si="4"/>
        <v>2.9619219587722456E-2</v>
      </c>
      <c r="U44" s="18">
        <f t="shared" si="5"/>
        <v>8.7723403318817894E-4</v>
      </c>
      <c r="V44" s="19">
        <f t="shared" si="6"/>
        <v>0.81000462163196119</v>
      </c>
      <c r="AD44" s="27"/>
    </row>
    <row r="45" spans="19:30" x14ac:dyDescent="0.35">
      <c r="S45" s="12">
        <f t="shared" si="7"/>
        <v>246.75373206527067</v>
      </c>
      <c r="T45">
        <f t="shared" si="4"/>
        <v>3.2299987995921604E-2</v>
      </c>
      <c r="U45" s="18">
        <f t="shared" si="5"/>
        <v>1.0431985233238144E-3</v>
      </c>
      <c r="V45" s="19">
        <f t="shared" si="6"/>
        <v>0.41789840081097651</v>
      </c>
      <c r="AD45" s="27"/>
    </row>
    <row r="46" spans="19:30" x14ac:dyDescent="0.35">
      <c r="S46" s="12">
        <f t="shared" si="7"/>
        <v>269.0868528811888</v>
      </c>
      <c r="T46">
        <f t="shared" si="4"/>
        <v>3.522338667454751E-2</v>
      </c>
      <c r="U46" s="18">
        <f t="shared" si="5"/>
        <v>1.2405586987833408E-3</v>
      </c>
      <c r="V46" s="19">
        <f t="shared" si="6"/>
        <v>0.132375915311151</v>
      </c>
      <c r="AD46" s="27"/>
    </row>
    <row r="47" spans="19:30" x14ac:dyDescent="0.35">
      <c r="S47" s="12">
        <f t="shared" si="7"/>
        <v>293.44129382549494</v>
      </c>
      <c r="T47">
        <f t="shared" si="4"/>
        <v>3.8411375539252453E-2</v>
      </c>
      <c r="U47" s="18">
        <f t="shared" si="5"/>
        <v>1.4752523710047933E-3</v>
      </c>
      <c r="V47" s="19">
        <f t="shared" si="6"/>
        <v>-5.2855242320973161E-2</v>
      </c>
      <c r="AD47" s="27"/>
    </row>
    <row r="48" spans="19:30" x14ac:dyDescent="0.35">
      <c r="S48" s="12">
        <f t="shared" si="7"/>
        <v>320.00000000000017</v>
      </c>
      <c r="T48">
        <f t="shared" si="4"/>
        <v>4.1887902047863933E-2</v>
      </c>
      <c r="U48" s="18">
        <f t="shared" si="5"/>
        <v>1.7543398022833016E-3</v>
      </c>
      <c r="V48" s="19">
        <f t="shared" si="6"/>
        <v>-0.15942170310710679</v>
      </c>
      <c r="AD48" s="27"/>
    </row>
    <row r="49" spans="19:30" x14ac:dyDescent="0.35">
      <c r="S49" s="12">
        <f t="shared" si="7"/>
        <v>348.96247445288265</v>
      </c>
      <c r="T49">
        <f t="shared" si="4"/>
        <v>4.5679081088320493E-2</v>
      </c>
      <c r="U49" s="18">
        <f t="shared" si="5"/>
        <v>2.086215656838644E-3</v>
      </c>
      <c r="V49" s="19">
        <f t="shared" si="6"/>
        <v>-0.2113538141682838</v>
      </c>
      <c r="AD49" s="27"/>
    </row>
    <row r="50" spans="19:30" x14ac:dyDescent="0.35">
      <c r="S50" s="12">
        <f t="shared" si="7"/>
        <v>380.54627680087094</v>
      </c>
      <c r="T50">
        <f t="shared" si="4"/>
        <v>4.9813391147856836E-2</v>
      </c>
      <c r="U50" s="18">
        <f t="shared" si="5"/>
        <v>2.480860878702511E-3</v>
      </c>
      <c r="V50" s="19">
        <f t="shared" si="6"/>
        <v>-0.22855904149802342</v>
      </c>
      <c r="AD50" s="27"/>
    </row>
    <row r="51" spans="19:30" x14ac:dyDescent="0.35">
      <c r="S51" s="12">
        <f t="shared" si="7"/>
        <v>414.98865748832333</v>
      </c>
      <c r="T51">
        <f t="shared" si="4"/>
        <v>5.4321888237016974E-2</v>
      </c>
      <c r="U51" s="18">
        <f t="shared" si="5"/>
        <v>2.9501419780689321E-3</v>
      </c>
      <c r="V51" s="19">
        <f t="shared" si="6"/>
        <v>-0.22530346046055172</v>
      </c>
      <c r="AD51" s="27"/>
    </row>
    <row r="52" spans="19:30" x14ac:dyDescent="0.35">
      <c r="S52" s="12">
        <f t="shared" si="7"/>
        <v>452.54833995939066</v>
      </c>
      <c r="T52">
        <f t="shared" si="4"/>
        <v>5.9238439175444912E-2</v>
      </c>
      <c r="U52" s="18">
        <f t="shared" si="5"/>
        <v>3.5081665932037319E-3</v>
      </c>
      <c r="V52" s="19">
        <f t="shared" si="6"/>
        <v>-0.2109821121347224</v>
      </c>
      <c r="AD52" s="27"/>
    </row>
    <row r="53" spans="19:30" x14ac:dyDescent="0.35">
      <c r="S53" s="12">
        <f t="shared" si="7"/>
        <v>493.50746413054134</v>
      </c>
      <c r="T53">
        <f t="shared" si="4"/>
        <v>6.4599975991843209E-2</v>
      </c>
      <c r="U53" s="18">
        <f t="shared" si="5"/>
        <v>4.1717058301361928E-3</v>
      </c>
      <c r="V53" s="19">
        <f t="shared" si="6"/>
        <v>-0.19144634129109761</v>
      </c>
      <c r="AD53" s="27"/>
    </row>
    <row r="54" spans="19:30" x14ac:dyDescent="0.35">
      <c r="S54" s="12">
        <f t="shared" si="7"/>
        <v>538.17370576237761</v>
      </c>
      <c r="T54">
        <f t="shared" si="4"/>
        <v>7.0446773349095021E-2</v>
      </c>
      <c r="U54" s="18">
        <f t="shared" si="5"/>
        <v>4.9606958092482363E-3</v>
      </c>
      <c r="V54" s="19">
        <f t="shared" si="6"/>
        <v>-0.17018137941001044</v>
      </c>
      <c r="AD54" s="27"/>
    </row>
    <row r="55" spans="19:30" x14ac:dyDescent="0.35">
      <c r="S55" s="12">
        <f t="shared" si="7"/>
        <v>586.88258765098988</v>
      </c>
      <c r="T55">
        <f t="shared" si="4"/>
        <v>7.6822751078504906E-2</v>
      </c>
      <c r="U55" s="18">
        <f t="shared" si="5"/>
        <v>5.8988331144610179E-3</v>
      </c>
      <c r="V55" s="19">
        <f t="shared" si="6"/>
        <v>-0.14916758070420855</v>
      </c>
      <c r="AD55" s="27"/>
    </row>
    <row r="56" spans="19:30" x14ac:dyDescent="0.35">
      <c r="S56" s="12">
        <f t="shared" si="7"/>
        <v>640.00000000000034</v>
      </c>
      <c r="T56">
        <f t="shared" si="4"/>
        <v>8.3775804095727865E-2</v>
      </c>
      <c r="U56" s="18">
        <f t="shared" si="5"/>
        <v>7.0142815009913307E-3</v>
      </c>
      <c r="V56" s="19">
        <f t="shared" si="6"/>
        <v>-0.12945760129723283</v>
      </c>
      <c r="AD56" s="27"/>
    </row>
    <row r="57" spans="19:30" x14ac:dyDescent="0.35">
      <c r="S57" s="12">
        <f t="shared" si="7"/>
        <v>697.92494890576529</v>
      </c>
      <c r="T57">
        <f t="shared" si="4"/>
        <v>9.1358162176640986E-2</v>
      </c>
      <c r="U57" s="18">
        <f t="shared" si="5"/>
        <v>8.3405103315877388E-3</v>
      </c>
      <c r="V57" s="19">
        <f t="shared" si="6"/>
        <v>-0.11154612447766965</v>
      </c>
      <c r="AD57" s="27"/>
    </row>
    <row r="58" spans="19:30" x14ac:dyDescent="0.35">
      <c r="S58" s="12">
        <f t="shared" si="7"/>
        <v>761.09255360174188</v>
      </c>
      <c r="T58">
        <f t="shared" si="4"/>
        <v>9.9626782295713673E-2</v>
      </c>
      <c r="U58" s="18">
        <f t="shared" si="5"/>
        <v>9.9172888441105677E-3</v>
      </c>
      <c r="V58" s="19">
        <f t="shared" si="6"/>
        <v>-9.5600796571268631E-2</v>
      </c>
      <c r="AD58" s="27"/>
    </row>
    <row r="59" spans="19:30" x14ac:dyDescent="0.35">
      <c r="S59" s="12">
        <f t="shared" si="7"/>
        <v>829.97731497664665</v>
      </c>
      <c r="T59">
        <f t="shared" si="4"/>
        <v>0.10864377647403395</v>
      </c>
      <c r="U59" s="18">
        <f t="shared" si="5"/>
        <v>1.1791864574584964E-2</v>
      </c>
      <c r="V59" s="19">
        <f t="shared" si="6"/>
        <v>-8.1604216402745067E-2</v>
      </c>
      <c r="AD59" s="27"/>
    </row>
    <row r="60" spans="19:30" x14ac:dyDescent="0.35">
      <c r="S60" s="12">
        <f t="shared" si="7"/>
        <v>905.09667991878132</v>
      </c>
      <c r="T60">
        <f t="shared" si="4"/>
        <v>0.11847687835088982</v>
      </c>
      <c r="U60" s="18">
        <f t="shared" si="5"/>
        <v>1.4020359139969256E-2</v>
      </c>
      <c r="V60" s="19">
        <f t="shared" si="6"/>
        <v>-6.9440162215570922E-2</v>
      </c>
      <c r="AD60" s="27"/>
    </row>
    <row r="61" spans="19:30" x14ac:dyDescent="0.35">
      <c r="S61" s="12">
        <f t="shared" si="7"/>
        <v>987.01492826108267</v>
      </c>
      <c r="T61">
        <f t="shared" si="4"/>
        <v>0.12919995198368642</v>
      </c>
      <c r="U61" s="18">
        <f t="shared" si="5"/>
        <v>1.6669420191011579E-2</v>
      </c>
      <c r="V61" s="19">
        <f t="shared" si="6"/>
        <v>-5.8945258460767036E-2</v>
      </c>
      <c r="AD61" s="27"/>
    </row>
    <row r="62" spans="19:30" x14ac:dyDescent="0.35">
      <c r="S62" s="12">
        <f t="shared" si="7"/>
        <v>1076.3474115247552</v>
      </c>
      <c r="T62">
        <f t="shared" si="4"/>
        <v>0.14089354669819004</v>
      </c>
      <c r="U62" s="18">
        <f t="shared" si="5"/>
        <v>1.9818174734081057E-2</v>
      </c>
      <c r="V62" s="19">
        <f t="shared" si="6"/>
        <v>-4.9939360962063972E-2</v>
      </c>
      <c r="AD62" s="27"/>
    </row>
    <row r="63" spans="19:30" x14ac:dyDescent="0.35">
      <c r="S63" s="12">
        <f t="shared" si="7"/>
        <v>1173.7651753019798</v>
      </c>
      <c r="T63">
        <f t="shared" si="4"/>
        <v>0.15364550215700981</v>
      </c>
      <c r="U63" s="18">
        <f t="shared" si="5"/>
        <v>2.3560536225731808E-2</v>
      </c>
      <c r="V63" s="19">
        <f t="shared" si="6"/>
        <v>-4.2242900757301527E-2</v>
      </c>
      <c r="AD63" s="27"/>
    </row>
    <row r="64" spans="19:30" x14ac:dyDescent="0.35">
      <c r="S64" s="12">
        <f t="shared" si="7"/>
        <v>1280.0000000000007</v>
      </c>
      <c r="T64">
        <f t="shared" si="4"/>
        <v>0.16755160819145573</v>
      </c>
      <c r="U64" s="18">
        <f t="shared" si="5"/>
        <v>2.8007925858990177E-2</v>
      </c>
      <c r="V64" s="19">
        <f t="shared" si="6"/>
        <v>-3.5686282620499554E-2</v>
      </c>
      <c r="AD64" s="27"/>
    </row>
    <row r="65" spans="19:30" x14ac:dyDescent="0.35">
      <c r="S65" s="12">
        <f t="shared" si="7"/>
        <v>1395.8498978115306</v>
      </c>
      <c r="T65">
        <f t="shared" si="4"/>
        <v>0.18271632435328197</v>
      </c>
      <c r="U65" s="18">
        <f t="shared" si="5"/>
        <v>3.3292477213759629E-2</v>
      </c>
      <c r="V65" s="19">
        <f t="shared" si="6"/>
        <v>-3.0114487168170001E-2</v>
      </c>
      <c r="AD65" s="27"/>
    </row>
    <row r="66" spans="19:30" x14ac:dyDescent="0.35">
      <c r="S66" s="12">
        <f t="shared" si="7"/>
        <v>1522.1851072034838</v>
      </c>
      <c r="T66">
        <f t="shared" si="4"/>
        <v>0.19925356459142735</v>
      </c>
      <c r="U66" s="18">
        <f t="shared" si="5"/>
        <v>3.9570802758424749E-2</v>
      </c>
      <c r="V66" s="19">
        <f t="shared" si="6"/>
        <v>-2.5388821975429465E-2</v>
      </c>
      <c r="AD66" s="27"/>
    </row>
    <row r="67" spans="19:30" x14ac:dyDescent="0.35">
      <c r="S67" s="12">
        <f t="shared" si="7"/>
        <v>1659.9546299532933</v>
      </c>
      <c r="T67">
        <f t="shared" si="4"/>
        <v>0.2172875529480679</v>
      </c>
      <c r="U67" s="18">
        <f t="shared" si="5"/>
        <v>4.7028410228194505E-2</v>
      </c>
      <c r="V67" s="19">
        <f t="shared" si="6"/>
        <v>-2.1387022342214124E-2</v>
      </c>
      <c r="AD67" s="27"/>
    </row>
    <row r="68" spans="19:30" x14ac:dyDescent="0.35">
      <c r="S68" s="12">
        <f t="shared" si="7"/>
        <v>1810.1933598375626</v>
      </c>
      <c r="T68">
        <f t="shared" si="4"/>
        <v>0.23695375670177965</v>
      </c>
      <c r="U68" s="18">
        <f t="shared" si="5"/>
        <v>5.588486608946331E-2</v>
      </c>
      <c r="V68" s="19">
        <f t="shared" si="6"/>
        <v>-1.8002440212985249E-2</v>
      </c>
      <c r="AD68" s="27"/>
    </row>
    <row r="69" spans="19:30" x14ac:dyDescent="0.35">
      <c r="S69" s="12">
        <f t="shared" si="7"/>
        <v>1974.0298565221653</v>
      </c>
      <c r="T69">
        <f t="shared" si="4"/>
        <v>0.25839990396737283</v>
      </c>
      <c r="U69" s="18">
        <f t="shared" si="5"/>
        <v>6.6399811194541802E-2</v>
      </c>
      <c r="V69" s="19">
        <f t="shared" si="6"/>
        <v>-1.514277219126825E-2</v>
      </c>
      <c r="AD69" s="27"/>
    </row>
    <row r="70" spans="19:30" x14ac:dyDescent="0.35">
      <c r="S70" s="12">
        <f t="shared" si="7"/>
        <v>2152.6948230495104</v>
      </c>
      <c r="T70">
        <f t="shared" si="4"/>
        <v>0.28178709339638008</v>
      </c>
      <c r="U70" s="18">
        <f t="shared" si="5"/>
        <v>7.8879938886533649E-2</v>
      </c>
      <c r="V70" s="19">
        <f t="shared" si="6"/>
        <v>-1.272859829382611E-2</v>
      </c>
      <c r="AD70" s="27"/>
    </row>
    <row r="71" spans="19:30" x14ac:dyDescent="0.35">
      <c r="S71" s="12">
        <f t="shared" si="7"/>
        <v>2347.5303506039595</v>
      </c>
      <c r="T71">
        <f t="shared" si="4"/>
        <v>0.30729100431401962</v>
      </c>
      <c r="U71" s="18">
        <f t="shared" si="5"/>
        <v>9.3687046035683216E-2</v>
      </c>
      <c r="V71" s="19">
        <f t="shared" si="6"/>
        <v>-1.0691891259515529E-2</v>
      </c>
      <c r="AD71" s="27"/>
    </row>
    <row r="72" spans="19:30" x14ac:dyDescent="0.35">
      <c r="S72" s="12">
        <f t="shared" si="7"/>
        <v>2560.0000000000014</v>
      </c>
      <c r="T72">
        <f t="shared" ref="T72:T96" si="8">2*PI()*S72/$B$7</f>
        <v>0.33510321638291146</v>
      </c>
      <c r="U72" s="18">
        <f t="shared" ref="U72:U96" si="9">4*SIN(T72/2)^2</f>
        <v>0.11124725952503801</v>
      </c>
      <c r="V72" s="19">
        <f t="shared" ref="V72:V96" si="10">10*LOG10(($B$15+$B$16+$B$17)^2 + ( $B$15*$B$17*U72 - ($B$16*($B$15+$B$17) + 4*$B$15*$B$17) )*U72 )  - 10*LOG10( (1+$AA$2+$AA$3)^2 + ( 1*$AA$3*U72 - ($AA$2*(1+$AA$3) + 4*1*$AA$3) )*U72)</f>
        <v>-8.9745866395780638E-3</v>
      </c>
      <c r="AD72" s="27"/>
    </row>
    <row r="73" spans="19:30" x14ac:dyDescent="0.35">
      <c r="S73" s="12">
        <f t="shared" ref="S73:S96" si="11">S72*2^(1/8)</f>
        <v>2791.6997956230612</v>
      </c>
      <c r="T73">
        <f t="shared" si="8"/>
        <v>0.36543264870656395</v>
      </c>
      <c r="U73" s="18">
        <f t="shared" si="9"/>
        <v>0.1320615198160098</v>
      </c>
      <c r="V73" s="19">
        <f t="shared" si="10"/>
        <v>-7.5272608628793591E-3</v>
      </c>
      <c r="AD73" s="27"/>
    </row>
    <row r="74" spans="19:30" x14ac:dyDescent="0.35">
      <c r="S74" s="12">
        <f t="shared" si="11"/>
        <v>3044.3702144069675</v>
      </c>
      <c r="T74">
        <f t="shared" si="8"/>
        <v>0.39850712918285469</v>
      </c>
      <c r="U74" s="18">
        <f t="shared" si="9"/>
        <v>0.15671736260275285</v>
      </c>
      <c r="V74" s="19">
        <f t="shared" si="10"/>
        <v>-6.3079381773789578E-3</v>
      </c>
      <c r="AD74" s="27"/>
    </row>
    <row r="75" spans="19:30" x14ac:dyDescent="0.35">
      <c r="S75" s="12">
        <f t="shared" si="11"/>
        <v>3319.9092599065866</v>
      </c>
      <c r="T75">
        <f t="shared" si="8"/>
        <v>0.43457510589613579</v>
      </c>
      <c r="U75" s="18">
        <f t="shared" si="9"/>
        <v>0.18590196954418667</v>
      </c>
      <c r="V75" s="19">
        <f t="shared" si="10"/>
        <v>-5.2810316378852917E-3</v>
      </c>
      <c r="AD75" s="27"/>
    </row>
    <row r="76" spans="19:30" x14ac:dyDescent="0.35">
      <c r="S76" s="12">
        <f t="shared" si="11"/>
        <v>3620.3867196751253</v>
      </c>
      <c r="T76">
        <f t="shared" si="8"/>
        <v>0.4739075134035593</v>
      </c>
      <c r="U76" s="18">
        <f t="shared" si="9"/>
        <v>0.22041634610001598</v>
      </c>
      <c r="V76" s="19">
        <f t="shared" si="10"/>
        <v>-4.4164142317804078E-3</v>
      </c>
      <c r="AD76" s="27"/>
    </row>
    <row r="77" spans="19:30" x14ac:dyDescent="0.35">
      <c r="S77" s="12">
        <f t="shared" si="11"/>
        <v>3948.0597130443307</v>
      </c>
      <c r="T77">
        <f t="shared" si="8"/>
        <v>0.51679980793474567</v>
      </c>
      <c r="U77" s="18">
        <f t="shared" si="9"/>
        <v>0.26119030985149644</v>
      </c>
      <c r="V77" s="19">
        <f t="shared" si="10"/>
        <v>-3.6886113218219663E-3</v>
      </c>
      <c r="AD77" s="27"/>
    </row>
    <row r="78" spans="19:30" x14ac:dyDescent="0.35">
      <c r="S78" s="12">
        <f t="shared" si="11"/>
        <v>4305.3896460990209</v>
      </c>
      <c r="T78">
        <f t="shared" si="8"/>
        <v>0.56357418679276017</v>
      </c>
      <c r="U78" s="18">
        <f t="shared" si="9"/>
        <v>0.30929771078739127</v>
      </c>
      <c r="V78" s="19">
        <f t="shared" si="10"/>
        <v>-3.0761032552533152E-3</v>
      </c>
      <c r="AD78" s="27"/>
    </row>
    <row r="79" spans="19:30" x14ac:dyDescent="0.35">
      <c r="S79" s="12">
        <f t="shared" si="11"/>
        <v>4695.060701207919</v>
      </c>
      <c r="T79">
        <f t="shared" si="8"/>
        <v>0.61458200862803924</v>
      </c>
      <c r="U79" s="18">
        <f t="shared" si="9"/>
        <v>0.36597092154784067</v>
      </c>
      <c r="V79" s="19">
        <f t="shared" si="10"/>
        <v>-2.5607262295448407E-3</v>
      </c>
      <c r="AD79" s="27"/>
    </row>
    <row r="80" spans="19:30" x14ac:dyDescent="0.35">
      <c r="S80" s="12">
        <f t="shared" si="11"/>
        <v>5120.0000000000027</v>
      </c>
      <c r="T80">
        <f t="shared" si="8"/>
        <v>0.67020643276582292</v>
      </c>
      <c r="U80" s="18">
        <f t="shared" si="9"/>
        <v>0.43261308534832082</v>
      </c>
      <c r="V80" s="19">
        <f t="shared" si="10"/>
        <v>-2.1271596730469966E-3</v>
      </c>
      <c r="AD80" s="27"/>
    </row>
    <row r="81" spans="19:30" x14ac:dyDescent="0.35">
      <c r="S81" s="12">
        <f t="shared" si="11"/>
        <v>5583.3995912461223</v>
      </c>
      <c r="T81">
        <f t="shared" si="8"/>
        <v>0.73086529741312789</v>
      </c>
      <c r="U81" s="18">
        <f t="shared" si="9"/>
        <v>0.51080583424792492</v>
      </c>
      <c r="V81" s="19">
        <f t="shared" si="10"/>
        <v>-1.7624890859835318E-3</v>
      </c>
      <c r="AD81" s="27"/>
    </row>
    <row r="82" spans="19:30" x14ac:dyDescent="0.35">
      <c r="S82" s="12">
        <f t="shared" si="11"/>
        <v>6088.7404288139351</v>
      </c>
      <c r="T82">
        <f t="shared" si="8"/>
        <v>0.79701425836570938</v>
      </c>
      <c r="U82" s="18">
        <f t="shared" si="9"/>
        <v>0.60230911866984871</v>
      </c>
      <c r="V82" s="19">
        <f t="shared" si="10"/>
        <v>-1.4558342367427812E-3</v>
      </c>
      <c r="AD82" s="27"/>
    </row>
    <row r="83" spans="19:30" x14ac:dyDescent="0.35">
      <c r="S83" s="12">
        <f t="shared" si="11"/>
        <v>6639.8185198131732</v>
      </c>
      <c r="T83">
        <f t="shared" si="8"/>
        <v>0.86915021179227159</v>
      </c>
      <c r="U83" s="18">
        <f t="shared" si="9"/>
        <v>0.70904833589633898</v>
      </c>
      <c r="V83" s="19">
        <f t="shared" si="10"/>
        <v>-1.198033663186493E-3</v>
      </c>
      <c r="AD83" s="27"/>
    </row>
    <row r="84" spans="19:30" x14ac:dyDescent="0.35">
      <c r="S84" s="12">
        <f t="shared" si="11"/>
        <v>7240.7734393502506</v>
      </c>
      <c r="T84">
        <f t="shared" si="8"/>
        <v>0.9478150268071186</v>
      </c>
      <c r="U84" s="18">
        <f t="shared" si="9"/>
        <v>0.83308201877198185</v>
      </c>
      <c r="V84" s="19">
        <f t="shared" si="10"/>
        <v>-9.8137749410809327E-4</v>
      </c>
      <c r="AD84" s="27"/>
    </row>
    <row r="85" spans="19:30" x14ac:dyDescent="0.35">
      <c r="S85" s="12">
        <f t="shared" si="11"/>
        <v>7896.1194260886614</v>
      </c>
      <c r="T85">
        <f t="shared" si="8"/>
        <v>1.0335996158694913</v>
      </c>
      <c r="U85" s="18">
        <f t="shared" si="9"/>
        <v>0.9765408614456651</v>
      </c>
      <c r="V85" s="19">
        <f t="shared" si="10"/>
        <v>-7.9938162956916248E-4</v>
      </c>
      <c r="AD85" s="27"/>
    </row>
    <row r="86" spans="19:30" x14ac:dyDescent="0.35">
      <c r="S86" s="12">
        <f t="shared" si="11"/>
        <v>8610.7792921980417</v>
      </c>
      <c r="T86">
        <f t="shared" si="8"/>
        <v>1.1271483735855203</v>
      </c>
      <c r="U86" s="18">
        <f t="shared" si="9"/>
        <v>1.1415257692512444</v>
      </c>
      <c r="V86" s="19">
        <f t="shared" si="10"/>
        <v>-6.4659727454552396E-4</v>
      </c>
      <c r="AD86" s="27"/>
    </row>
    <row r="87" spans="19:30" x14ac:dyDescent="0.35">
      <c r="S87" s="12">
        <f t="shared" si="11"/>
        <v>9390.121402415838</v>
      </c>
      <c r="T87">
        <f t="shared" si="8"/>
        <v>1.2291640172560785</v>
      </c>
      <c r="U87" s="18">
        <f t="shared" si="9"/>
        <v>1.3299489707727872</v>
      </c>
      <c r="V87" s="19">
        <f t="shared" si="10"/>
        <v>-5.1845070099698631E-4</v>
      </c>
      <c r="AD87" s="27"/>
    </row>
    <row r="88" spans="19:30" x14ac:dyDescent="0.35">
      <c r="S88" s="12">
        <f t="shared" si="11"/>
        <v>10240.000000000005</v>
      </c>
      <c r="T88">
        <f t="shared" si="8"/>
        <v>1.3404128655316458</v>
      </c>
      <c r="U88" s="18">
        <f t="shared" si="9"/>
        <v>1.54329825977869</v>
      </c>
      <c r="V88" s="19">
        <f t="shared" si="10"/>
        <v>-4.1110892514817365E-4</v>
      </c>
      <c r="AD88" s="27"/>
    </row>
    <row r="89" spans="19:30" x14ac:dyDescent="0.35">
      <c r="S89" s="12">
        <f t="shared" si="11"/>
        <v>11166.799182492245</v>
      </c>
      <c r="T89">
        <f t="shared" si="8"/>
        <v>1.4617305948262558</v>
      </c>
      <c r="U89" s="18">
        <f t="shared" si="9"/>
        <v>1.7823007366899815</v>
      </c>
      <c r="V89" s="19">
        <f t="shared" si="10"/>
        <v>-3.2136774849256255E-4</v>
      </c>
      <c r="AD89" s="27"/>
    </row>
    <row r="90" spans="19:30" x14ac:dyDescent="0.35">
      <c r="S90" s="12">
        <f t="shared" si="11"/>
        <v>12177.48085762787</v>
      </c>
      <c r="T90">
        <f t="shared" si="8"/>
        <v>1.5940285167314188</v>
      </c>
      <c r="U90" s="18">
        <f t="shared" si="9"/>
        <v>2.0464602002465448</v>
      </c>
      <c r="V90" s="19">
        <f t="shared" si="10"/>
        <v>-2.4655935703687959E-4</v>
      </c>
      <c r="AD90" s="27"/>
    </row>
    <row r="91" spans="19:30" x14ac:dyDescent="0.35">
      <c r="S91" s="12">
        <f t="shared" si="11"/>
        <v>13279.637039626346</v>
      </c>
      <c r="T91">
        <f t="shared" si="8"/>
        <v>1.7383004235845432</v>
      </c>
      <c r="U91" s="18">
        <f t="shared" si="9"/>
        <v>2.3334438009479883</v>
      </c>
      <c r="V91" s="19">
        <f t="shared" si="10"/>
        <v>-1.8447746290561895E-4</v>
      </c>
      <c r="AD91" s="27"/>
    </row>
    <row r="92" spans="19:30" x14ac:dyDescent="0.35">
      <c r="S92" s="12">
        <f t="shared" si="11"/>
        <v>14481.546878700501</v>
      </c>
      <c r="T92">
        <f t="shared" si="8"/>
        <v>1.8956300536142372</v>
      </c>
      <c r="U92" s="18">
        <f t="shared" si="9"/>
        <v>2.6383024250867271</v>
      </c>
      <c r="V92" s="19">
        <f t="shared" si="10"/>
        <v>-1.3331891084966685E-4</v>
      </c>
      <c r="AD92" s="27"/>
    </row>
    <row r="93" spans="19:30" x14ac:dyDescent="0.35">
      <c r="S93" s="12">
        <f t="shared" si="11"/>
        <v>15792.238852177323</v>
      </c>
      <c r="T93">
        <f t="shared" si="8"/>
        <v>2.0671992317389827</v>
      </c>
      <c r="U93" s="18">
        <f t="shared" si="9"/>
        <v>2.952531391709619</v>
      </c>
      <c r="V93" s="19">
        <f t="shared" si="10"/>
        <v>-9.164195706645728E-5</v>
      </c>
      <c r="AD93" s="27"/>
    </row>
    <row r="94" spans="19:30" x14ac:dyDescent="0.35">
      <c r="S94" s="12">
        <f t="shared" si="11"/>
        <v>17221.558584396083</v>
      </c>
      <c r="T94">
        <f t="shared" si="8"/>
        <v>2.2542967471710407</v>
      </c>
      <c r="U94" s="18">
        <f t="shared" si="9"/>
        <v>3.2630219951403325</v>
      </c>
      <c r="V94" s="19">
        <f t="shared" si="10"/>
        <v>-5.8343452867148926E-5</v>
      </c>
      <c r="AD94" s="27"/>
    </row>
    <row r="95" spans="19:30" x14ac:dyDescent="0.35">
      <c r="S95" s="12">
        <f t="shared" si="11"/>
        <v>18780.242804831676</v>
      </c>
      <c r="T95">
        <f t="shared" si="8"/>
        <v>2.458328034512157</v>
      </c>
      <c r="U95" s="18">
        <f t="shared" si="9"/>
        <v>3.5510316182315527</v>
      </c>
      <c r="V95" s="19">
        <f t="shared" si="10"/>
        <v>-3.2660763418235206E-5</v>
      </c>
      <c r="AD95" s="27"/>
    </row>
    <row r="96" spans="19:30" x14ac:dyDescent="0.35">
      <c r="S96" s="12">
        <f t="shared" si="11"/>
        <v>20480.000000000011</v>
      </c>
      <c r="T96">
        <f t="shared" si="8"/>
        <v>2.6808257310632917</v>
      </c>
      <c r="U96" s="18">
        <f t="shared" si="9"/>
        <v>3.7914235204788267</v>
      </c>
      <c r="V96" s="19">
        <f t="shared" si="10"/>
        <v>-1.4211291311738705E-5</v>
      </c>
      <c r="AD96" s="27"/>
    </row>
    <row r="97" spans="19:30" x14ac:dyDescent="0.35">
      <c r="S97" s="12"/>
      <c r="U97" s="18"/>
      <c r="V97" s="19"/>
      <c r="AD97" s="27"/>
    </row>
  </sheetData>
  <sheetProtection selectLockedCells="1" selectUnlockedCells="1"/>
  <mergeCells count="2">
    <mergeCell ref="A9:C9"/>
    <mergeCell ref="A10:C10"/>
  </mergeCells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</vt:i4>
      </vt:variant>
    </vt:vector>
  </HeadingPairs>
  <TitlesOfParts>
    <vt:vector size="13" baseType="lpstr">
      <vt:lpstr>LT</vt:lpstr>
      <vt:lpstr>LPF</vt:lpstr>
      <vt:lpstr>BPF1</vt:lpstr>
      <vt:lpstr>BPF2</vt:lpstr>
      <vt:lpstr>notch</vt:lpstr>
      <vt:lpstr>APF</vt:lpstr>
      <vt:lpstr>PeakingEQ</vt:lpstr>
      <vt:lpstr>HPF</vt:lpstr>
      <vt:lpstr>lowShelf</vt:lpstr>
      <vt:lpstr>highShelf</vt:lpstr>
      <vt:lpstr>RIAA</vt:lpstr>
      <vt:lpstr>Blad3</vt:lpstr>
      <vt:lpstr>grafiek_labels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James34602</cp:lastModifiedBy>
  <dcterms:created xsi:type="dcterms:W3CDTF">2010-08-19T14:22:56Z</dcterms:created>
  <dcterms:modified xsi:type="dcterms:W3CDTF">2016-02-25T12:19:01Z</dcterms:modified>
</cp:coreProperties>
</file>