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zhuoranliu/ZL_Asica/Websites/aifans_cc/blog/themes/matery/source/medias/assets/data/"/>
    </mc:Choice>
  </mc:AlternateContent>
  <xr:revisionPtr revIDLastSave="0" documentId="13_ncr:1_{37EF257A-BD62-4740-855B-18B09734E518}" xr6:coauthVersionLast="45" xr6:coauthVersionMax="45" xr10:uidLastSave="{00000000-0000-0000-0000-000000000000}"/>
  <bookViews>
    <workbookView xWindow="0" yWindow="4540" windowWidth="18340" windowHeight="16460" activeTab="1" xr2:uid="{00000000-000D-0000-FFFF-FFFF00000000}"/>
  </bookViews>
  <sheets>
    <sheet name="in" sheetId="1" r:id="rId1"/>
    <sheet name="out" sheetId="2" r:id="rId2"/>
    <sheet name="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C9" i="4"/>
  <c r="B9" i="4"/>
  <c r="G13" i="4" l="1"/>
  <c r="G12" i="4"/>
  <c r="G11" i="4"/>
  <c r="G10" i="4"/>
  <c r="G8" i="4"/>
  <c r="G7" i="4"/>
  <c r="G6" i="4"/>
  <c r="G5" i="4"/>
  <c r="G4" i="4"/>
  <c r="G3" i="4"/>
  <c r="G2" i="4"/>
  <c r="E13" i="4"/>
  <c r="E12" i="4"/>
  <c r="E11" i="4"/>
  <c r="E10" i="4"/>
  <c r="E8" i="4"/>
  <c r="E7" i="4"/>
  <c r="E6" i="4"/>
  <c r="E5" i="4"/>
  <c r="E4" i="4"/>
  <c r="E3" i="4"/>
  <c r="E2" i="4"/>
  <c r="F13" i="4" l="1"/>
  <c r="F12" i="4"/>
  <c r="F11" i="4"/>
  <c r="F10" i="4"/>
  <c r="F8" i="4"/>
  <c r="F7" i="4"/>
  <c r="F6" i="4"/>
  <c r="F5" i="4"/>
  <c r="F4" i="4"/>
  <c r="F3" i="4"/>
  <c r="F2" i="4"/>
  <c r="D13" i="4"/>
  <c r="D12" i="4"/>
  <c r="D11" i="4"/>
  <c r="D10" i="4"/>
  <c r="D8" i="4"/>
  <c r="D7" i="4"/>
  <c r="D6" i="4"/>
  <c r="D5" i="4"/>
  <c r="D4" i="4"/>
  <c r="D3" i="4"/>
  <c r="D2" i="4"/>
  <c r="C13" i="4"/>
  <c r="C12" i="4"/>
  <c r="C11" i="4"/>
  <c r="C10" i="4"/>
  <c r="C8" i="4"/>
  <c r="C7" i="4"/>
  <c r="C6" i="4"/>
  <c r="C5" i="4"/>
  <c r="C4" i="4"/>
  <c r="C3" i="4"/>
  <c r="C2" i="4"/>
  <c r="H13" i="4"/>
  <c r="H12" i="4"/>
  <c r="H11" i="4"/>
  <c r="H10" i="4"/>
  <c r="H8" i="4"/>
  <c r="H7" i="4"/>
  <c r="H6" i="4"/>
  <c r="H5" i="4"/>
  <c r="H4" i="4"/>
  <c r="H3" i="4"/>
  <c r="H2" i="4"/>
  <c r="B2" i="4"/>
  <c r="B8" i="4"/>
  <c r="B7" i="4"/>
  <c r="B6" i="4"/>
  <c r="B5" i="4"/>
  <c r="B13" i="4"/>
  <c r="B10" i="4"/>
  <c r="B11" i="4"/>
  <c r="B12" i="4"/>
  <c r="B4" i="4"/>
  <c r="B3" i="4"/>
  <c r="I8" i="4" l="1"/>
  <c r="I7" i="4"/>
  <c r="I6" i="4"/>
  <c r="I10" i="4"/>
  <c r="I4" i="4"/>
  <c r="I5" i="4"/>
  <c r="I12" i="4"/>
  <c r="I11" i="4"/>
  <c r="I3" i="4"/>
  <c r="I13" i="4"/>
  <c r="I2" i="4"/>
  <c r="I9" i="4"/>
</calcChain>
</file>

<file path=xl/sharedStrings.xml><?xml version="1.0" encoding="utf-8"?>
<sst xmlns="http://schemas.openxmlformats.org/spreadsheetml/2006/main" count="91" uniqueCount="54">
  <si>
    <t>wechat</t>
    <phoneticPr fontId="1" type="noConversion"/>
  </si>
  <si>
    <t>alipay</t>
    <phoneticPr fontId="1" type="noConversion"/>
  </si>
  <si>
    <t>DATE</t>
    <phoneticPr fontId="1" type="noConversion"/>
  </si>
  <si>
    <t>USER</t>
    <phoneticPr fontId="1" type="noConversion"/>
  </si>
  <si>
    <t>MONEY</t>
    <phoneticPr fontId="1" type="noConversion"/>
  </si>
  <si>
    <t>PLATFORM</t>
    <phoneticPr fontId="1" type="noConversion"/>
  </si>
  <si>
    <t>ADMIN</t>
    <phoneticPr fontId="1" type="noConversion"/>
  </si>
  <si>
    <t>ITEM</t>
    <phoneticPr fontId="1" type="noConversion"/>
  </si>
  <si>
    <t>MONTH</t>
    <phoneticPr fontId="1" type="noConversion"/>
  </si>
  <si>
    <t>IN</t>
    <phoneticPr fontId="1" type="noConversion"/>
  </si>
  <si>
    <t>OUT</t>
    <phoneticPr fontId="1" type="noConversion"/>
  </si>
  <si>
    <t>DIFF</t>
    <phoneticPr fontId="1" type="noConversion"/>
  </si>
  <si>
    <t>WECHAT</t>
    <phoneticPr fontId="1" type="noConversion"/>
  </si>
  <si>
    <t>ALIPAY</t>
    <phoneticPr fontId="1" type="noConversion"/>
  </si>
  <si>
    <t>PAYPAL</t>
    <phoneticPr fontId="1" type="noConversion"/>
  </si>
  <si>
    <t>BILIBILI</t>
    <phoneticPr fontId="1" type="noConversion"/>
  </si>
  <si>
    <t>OTHER</t>
    <phoneticPr fontId="1" type="noConversion"/>
  </si>
  <si>
    <t>圳贤</t>
    <phoneticPr fontId="1" type="noConversion"/>
  </si>
  <si>
    <t>maerd</t>
    <phoneticPr fontId="1" type="noConversion"/>
  </si>
  <si>
    <t>请叫我炜爷</t>
    <phoneticPr fontId="1" type="noConversion"/>
  </si>
  <si>
    <t>雪糕</t>
    <phoneticPr fontId="1" type="noConversion"/>
  </si>
  <si>
    <t>Bartholomew</t>
    <phoneticPr fontId="1" type="noConversion"/>
  </si>
  <si>
    <t>溯本追源</t>
    <phoneticPr fontId="1" type="noConversion"/>
  </si>
  <si>
    <t>Sir_fox</t>
    <phoneticPr fontId="1" type="noConversion"/>
  </si>
  <si>
    <t>少军</t>
    <phoneticPr fontId="1" type="noConversion"/>
  </si>
  <si>
    <t>雨荀</t>
    <phoneticPr fontId="1" type="noConversion"/>
  </si>
  <si>
    <t>Zfour</t>
    <phoneticPr fontId="1" type="noConversion"/>
  </si>
  <si>
    <t>文博</t>
    <phoneticPr fontId="1" type="noConversion"/>
  </si>
  <si>
    <t>立华香菜</t>
    <phoneticPr fontId="1" type="noConversion"/>
  </si>
  <si>
    <t>wanhhe</t>
    <phoneticPr fontId="1" type="noConversion"/>
  </si>
  <si>
    <t>是盲僧不是瞎子</t>
    <phoneticPr fontId="1" type="noConversion"/>
  </si>
  <si>
    <t>世界论</t>
    <phoneticPr fontId="1" type="noConversion"/>
  </si>
  <si>
    <t>总合</t>
    <phoneticPr fontId="1" type="noConversion"/>
  </si>
  <si>
    <t>*钨金</t>
    <phoneticPr fontId="1" type="noConversion"/>
  </si>
  <si>
    <t>*文盛</t>
    <phoneticPr fontId="1" type="noConversion"/>
  </si>
  <si>
    <t>*琦</t>
    <phoneticPr fontId="1" type="noConversion"/>
  </si>
  <si>
    <t>keishi</t>
    <phoneticPr fontId="1" type="noConversion"/>
  </si>
  <si>
    <t>kizunaai.fun域名首年</t>
    <phoneticPr fontId="1" type="noConversion"/>
  </si>
  <si>
    <t>ZL Asica</t>
    <phoneticPr fontId="1" type="noConversion"/>
  </si>
  <si>
    <t>kizunaai.xyz域名首年</t>
    <phoneticPr fontId="1" type="noConversion"/>
  </si>
  <si>
    <t>KillMasterAGS</t>
    <phoneticPr fontId="1" type="noConversion"/>
  </si>
  <si>
    <t>qq微信登录页面去除广告</t>
    <phoneticPr fontId="1" type="noConversion"/>
  </si>
  <si>
    <t>aifans.cc域名首年</t>
    <phoneticPr fontId="1" type="noConversion"/>
  </si>
  <si>
    <t>蒲公英iOS封装</t>
    <phoneticPr fontId="1" type="noConversion"/>
  </si>
  <si>
    <t>服务器9月费用</t>
    <phoneticPr fontId="1" type="noConversion"/>
  </si>
  <si>
    <t>*卜</t>
    <phoneticPr fontId="1" type="noConversion"/>
  </si>
  <si>
    <t>服务器首周</t>
    <phoneticPr fontId="1" type="noConversion"/>
  </si>
  <si>
    <t>半月服务器费用</t>
    <phoneticPr fontId="1" type="noConversion"/>
  </si>
  <si>
    <t>FAKED</t>
    <phoneticPr fontId="1" type="noConversion"/>
  </si>
  <si>
    <t>*尔</t>
    <phoneticPr fontId="1" type="noConversion"/>
  </si>
  <si>
    <t>Keishi</t>
    <phoneticPr fontId="1" type="noConversion"/>
  </si>
  <si>
    <t>B站年度大会员</t>
    <phoneticPr fontId="1" type="noConversion"/>
  </si>
  <si>
    <t>*翔辰</t>
    <phoneticPr fontId="1" type="noConversion"/>
  </si>
  <si>
    <t>服务器10月费用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</si>
</sst>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12" zoomScale="150" workbookViewId="0">
      <selection activeCell="D28" sqref="D28"/>
    </sheetView>
  </sheetViews>
  <sheetFormatPr baseColWidth="10" defaultColWidth="8.83203125" defaultRowHeight="15"/>
  <cols>
    <col min="1" max="1" width="10" bestFit="1" customWidth="1"/>
    <col min="2" max="2" width="9.5" bestFit="1" customWidth="1"/>
    <col min="3" max="3" width="9" bestFit="1" customWidth="1"/>
    <col min="4" max="4" width="10.6640625" bestFit="1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s="1">
        <v>20190812</v>
      </c>
      <c r="B2" s="1" t="s">
        <v>17</v>
      </c>
      <c r="C2" s="1">
        <v>8</v>
      </c>
      <c r="D2" s="1" t="s">
        <v>1</v>
      </c>
    </row>
    <row r="3" spans="1:4">
      <c r="A3" s="1">
        <v>20190814</v>
      </c>
      <c r="B3" s="1" t="s">
        <v>18</v>
      </c>
      <c r="C3" s="1">
        <v>10</v>
      </c>
      <c r="D3" s="1" t="s">
        <v>1</v>
      </c>
    </row>
    <row r="4" spans="1:4">
      <c r="A4" s="1">
        <v>20190815</v>
      </c>
      <c r="B4" s="1" t="s">
        <v>19</v>
      </c>
      <c r="C4" s="1">
        <v>50</v>
      </c>
      <c r="D4" s="1" t="s">
        <v>1</v>
      </c>
    </row>
    <row r="5" spans="1:4">
      <c r="A5" s="1">
        <v>20190815</v>
      </c>
      <c r="B5" s="1" t="s">
        <v>20</v>
      </c>
      <c r="C5" s="1">
        <v>100</v>
      </c>
      <c r="D5" s="1" t="s">
        <v>1</v>
      </c>
    </row>
    <row r="6" spans="1:4">
      <c r="A6" s="1">
        <v>20190817</v>
      </c>
      <c r="B6" s="1" t="s">
        <v>21</v>
      </c>
      <c r="C6" s="1">
        <v>5</v>
      </c>
      <c r="D6" s="1" t="s">
        <v>1</v>
      </c>
    </row>
    <row r="7" spans="1:4">
      <c r="A7" s="1">
        <v>20190817</v>
      </c>
      <c r="B7" s="1" t="s">
        <v>22</v>
      </c>
      <c r="C7" s="1">
        <v>28</v>
      </c>
      <c r="D7" s="1" t="s">
        <v>1</v>
      </c>
    </row>
    <row r="8" spans="1:4">
      <c r="A8" s="1">
        <v>20190824</v>
      </c>
      <c r="B8" s="1" t="s">
        <v>32</v>
      </c>
      <c r="C8" s="1">
        <v>150</v>
      </c>
      <c r="D8" s="1" t="s">
        <v>0</v>
      </c>
    </row>
    <row r="9" spans="1:4">
      <c r="A9" s="1">
        <v>20190824</v>
      </c>
      <c r="B9" s="1" t="s">
        <v>23</v>
      </c>
      <c r="C9" s="1">
        <v>5</v>
      </c>
      <c r="D9" s="1" t="s">
        <v>1</v>
      </c>
    </row>
    <row r="10" spans="1:4">
      <c r="A10" s="1">
        <v>20190826</v>
      </c>
      <c r="B10" s="1" t="s">
        <v>30</v>
      </c>
      <c r="C10" s="1">
        <v>100</v>
      </c>
      <c r="D10" s="1" t="s">
        <v>1</v>
      </c>
    </row>
    <row r="11" spans="1:4">
      <c r="A11" s="1">
        <v>20190826</v>
      </c>
      <c r="B11" s="1" t="s">
        <v>31</v>
      </c>
      <c r="C11" s="1">
        <v>50</v>
      </c>
      <c r="D11" s="1" t="s">
        <v>1</v>
      </c>
    </row>
    <row r="12" spans="1:4">
      <c r="A12" s="1">
        <v>20190827</v>
      </c>
      <c r="B12" s="1" t="s">
        <v>24</v>
      </c>
      <c r="C12" s="1">
        <v>10</v>
      </c>
      <c r="D12" s="1" t="s">
        <v>1</v>
      </c>
    </row>
    <row r="13" spans="1:4">
      <c r="A13" s="1">
        <v>20190827</v>
      </c>
      <c r="B13" s="1" t="s">
        <v>25</v>
      </c>
      <c r="C13" s="1">
        <v>60</v>
      </c>
      <c r="D13" s="1" t="s">
        <v>1</v>
      </c>
    </row>
    <row r="14" spans="1:4">
      <c r="A14" s="1">
        <v>20190827</v>
      </c>
      <c r="B14" s="1" t="s">
        <v>26</v>
      </c>
      <c r="C14" s="1">
        <v>6.66</v>
      </c>
      <c r="D14" s="1" t="s">
        <v>1</v>
      </c>
    </row>
    <row r="15" spans="1:4">
      <c r="A15" s="1">
        <v>20190828</v>
      </c>
      <c r="B15" s="1" t="s">
        <v>27</v>
      </c>
      <c r="C15" s="1">
        <v>5</v>
      </c>
      <c r="D15" s="1" t="s">
        <v>1</v>
      </c>
    </row>
    <row r="16" spans="1:4">
      <c r="A16" s="1">
        <v>20190828</v>
      </c>
      <c r="B16" s="1" t="s">
        <v>28</v>
      </c>
      <c r="C16" s="1">
        <v>30</v>
      </c>
      <c r="D16" s="1" t="s">
        <v>1</v>
      </c>
    </row>
    <row r="17" spans="1:4">
      <c r="A17" s="1">
        <v>20190828</v>
      </c>
      <c r="B17" s="1" t="s">
        <v>32</v>
      </c>
      <c r="C17" s="1">
        <v>100</v>
      </c>
      <c r="D17" s="1" t="s">
        <v>0</v>
      </c>
    </row>
    <row r="18" spans="1:4">
      <c r="A18" s="1">
        <v>20190831</v>
      </c>
      <c r="B18" s="1" t="s">
        <v>29</v>
      </c>
      <c r="C18" s="1">
        <v>5</v>
      </c>
      <c r="D18" s="1" t="s">
        <v>1</v>
      </c>
    </row>
    <row r="19" spans="1:4">
      <c r="A19" s="1">
        <v>20190901</v>
      </c>
      <c r="B19" s="1" t="s">
        <v>31</v>
      </c>
      <c r="C19" s="1">
        <v>500</v>
      </c>
      <c r="D19" s="1" t="s">
        <v>1</v>
      </c>
    </row>
    <row r="20" spans="1:4">
      <c r="A20" s="1">
        <v>20190901</v>
      </c>
      <c r="B20" s="1" t="s">
        <v>31</v>
      </c>
      <c r="C20" s="1">
        <v>160</v>
      </c>
      <c r="D20" s="1" t="s">
        <v>1</v>
      </c>
    </row>
    <row r="21" spans="1:4">
      <c r="A21" s="1">
        <v>20190909</v>
      </c>
      <c r="B21" s="1" t="s">
        <v>33</v>
      </c>
      <c r="C21" s="1">
        <v>10</v>
      </c>
      <c r="D21" s="1" t="s">
        <v>1</v>
      </c>
    </row>
    <row r="22" spans="1:4">
      <c r="A22" s="1">
        <v>20190912</v>
      </c>
      <c r="B22" s="1" t="s">
        <v>34</v>
      </c>
      <c r="C22" s="1">
        <v>100</v>
      </c>
      <c r="D22" s="1" t="s">
        <v>1</v>
      </c>
    </row>
    <row r="23" spans="1:4">
      <c r="A23" s="1">
        <v>20190912</v>
      </c>
      <c r="B23" s="1" t="s">
        <v>35</v>
      </c>
      <c r="C23" s="1">
        <v>49</v>
      </c>
      <c r="D23" s="1" t="s">
        <v>1</v>
      </c>
    </row>
    <row r="24" spans="1:4">
      <c r="A24" s="1">
        <v>20190913</v>
      </c>
      <c r="B24" s="1" t="s">
        <v>32</v>
      </c>
      <c r="C24" s="1">
        <v>61</v>
      </c>
      <c r="D24" s="1" t="s">
        <v>0</v>
      </c>
    </row>
    <row r="25" spans="1:4">
      <c r="A25" s="1">
        <v>20190923</v>
      </c>
      <c r="B25" s="1" t="s">
        <v>45</v>
      </c>
      <c r="C25" s="1">
        <v>3</v>
      </c>
      <c r="D25" s="1" t="s">
        <v>0</v>
      </c>
    </row>
    <row r="26" spans="1:4">
      <c r="A26" s="1">
        <v>20191005</v>
      </c>
      <c r="B26" s="1" t="s">
        <v>48</v>
      </c>
      <c r="C26" s="1">
        <v>5</v>
      </c>
      <c r="D26" s="1" t="s">
        <v>0</v>
      </c>
    </row>
    <row r="27" spans="1:4">
      <c r="A27" s="1">
        <v>20191007</v>
      </c>
      <c r="B27" s="1" t="s">
        <v>49</v>
      </c>
      <c r="C27" s="1">
        <v>100</v>
      </c>
      <c r="D27" s="1" t="s">
        <v>0</v>
      </c>
    </row>
    <row r="28" spans="1:4">
      <c r="A28" s="1">
        <v>20191007</v>
      </c>
      <c r="B28" s="1" t="s">
        <v>52</v>
      </c>
      <c r="C28" s="1">
        <v>3</v>
      </c>
      <c r="D28" s="1" t="s">
        <v>1</v>
      </c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84F-7839-468C-8148-23D61A6A007E}">
  <dimension ref="A1:D24"/>
  <sheetViews>
    <sheetView tabSelected="1" zoomScale="150" workbookViewId="0">
      <selection activeCell="D11" sqref="D11"/>
    </sheetView>
  </sheetViews>
  <sheetFormatPr baseColWidth="10" defaultColWidth="9" defaultRowHeight="15"/>
  <cols>
    <col min="1" max="1" width="10" style="2" bestFit="1" customWidth="1"/>
    <col min="2" max="2" width="9" style="2"/>
    <col min="3" max="3" width="11.33203125" style="2" customWidth="1"/>
    <col min="4" max="16384" width="9" style="2"/>
  </cols>
  <sheetData>
    <row r="1" spans="1:4">
      <c r="A1" s="2" t="s">
        <v>2</v>
      </c>
      <c r="B1" s="2" t="s">
        <v>6</v>
      </c>
      <c r="C1" s="2" t="s">
        <v>4</v>
      </c>
      <c r="D1" s="2" t="s">
        <v>7</v>
      </c>
    </row>
    <row r="2" spans="1:4">
      <c r="A2" s="2">
        <v>20190812</v>
      </c>
      <c r="B2" s="2" t="s">
        <v>36</v>
      </c>
      <c r="C2" s="2">
        <v>80</v>
      </c>
      <c r="D2" s="2" t="s">
        <v>46</v>
      </c>
    </row>
    <row r="3" spans="1:4">
      <c r="A3" s="2">
        <v>20190812</v>
      </c>
      <c r="B3" s="2" t="s">
        <v>36</v>
      </c>
      <c r="C3" s="2">
        <v>8</v>
      </c>
      <c r="D3" s="2" t="s">
        <v>37</v>
      </c>
    </row>
    <row r="4" spans="1:4">
      <c r="A4" s="2">
        <v>20190812</v>
      </c>
      <c r="B4" s="2" t="s">
        <v>38</v>
      </c>
      <c r="C4" s="2">
        <v>8</v>
      </c>
      <c r="D4" s="2" t="s">
        <v>39</v>
      </c>
    </row>
    <row r="5" spans="1:4">
      <c r="A5" s="2">
        <v>20190827</v>
      </c>
      <c r="B5" s="2" t="s">
        <v>40</v>
      </c>
      <c r="C5" s="2">
        <v>36</v>
      </c>
      <c r="D5" s="2" t="s">
        <v>41</v>
      </c>
    </row>
    <row r="6" spans="1:4">
      <c r="A6" s="2">
        <v>20190830</v>
      </c>
      <c r="B6" s="2" t="s">
        <v>36</v>
      </c>
      <c r="C6" s="2">
        <v>29</v>
      </c>
      <c r="D6" s="2" t="s">
        <v>42</v>
      </c>
    </row>
    <row r="7" spans="1:4">
      <c r="A7" s="2">
        <v>20190826</v>
      </c>
      <c r="B7" s="2" t="s">
        <v>36</v>
      </c>
      <c r="C7" s="2">
        <v>1</v>
      </c>
      <c r="D7" s="2" t="s">
        <v>43</v>
      </c>
    </row>
    <row r="8" spans="1:4">
      <c r="A8" s="2">
        <v>20190901</v>
      </c>
      <c r="B8" s="2" t="s">
        <v>36</v>
      </c>
      <c r="C8" s="2">
        <v>41</v>
      </c>
      <c r="D8" s="2" t="s">
        <v>47</v>
      </c>
    </row>
    <row r="9" spans="1:4">
      <c r="A9" s="2">
        <v>20190912</v>
      </c>
      <c r="B9" s="2" t="s">
        <v>38</v>
      </c>
      <c r="C9" s="2">
        <v>80.099999999999994</v>
      </c>
      <c r="D9" s="2" t="s">
        <v>44</v>
      </c>
    </row>
    <row r="10" spans="1:4">
      <c r="A10" s="2">
        <v>20191003</v>
      </c>
      <c r="B10" s="2" t="s">
        <v>50</v>
      </c>
      <c r="C10" s="2">
        <v>98</v>
      </c>
      <c r="D10" s="2" t="s">
        <v>51</v>
      </c>
    </row>
    <row r="11" spans="1:4">
      <c r="A11" s="2">
        <v>20191010</v>
      </c>
      <c r="B11" s="2" t="s">
        <v>38</v>
      </c>
      <c r="C11" s="2">
        <v>80.2</v>
      </c>
      <c r="D11" s="2" t="s">
        <v>53</v>
      </c>
    </row>
    <row r="13" spans="1:4">
      <c r="A13" s="3"/>
      <c r="B13" s="3"/>
      <c r="C13" s="3"/>
    </row>
    <row r="14" spans="1:4">
      <c r="A14" s="3"/>
      <c r="B14" s="3"/>
      <c r="C14" s="3"/>
    </row>
    <row r="15" spans="1:4">
      <c r="A15" s="3"/>
      <c r="B15" s="3"/>
      <c r="C15" s="3"/>
    </row>
    <row r="16" spans="1:4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725-129C-4C78-A7FC-9FE62BDEA0B2}">
  <dimension ref="A1:I13"/>
  <sheetViews>
    <sheetView zoomScale="141" workbookViewId="0">
      <selection activeCell="C6" sqref="C6"/>
    </sheetView>
  </sheetViews>
  <sheetFormatPr baseColWidth="10" defaultColWidth="8.83203125" defaultRowHeight="15"/>
  <sheetData>
    <row r="1" spans="1:9">
      <c r="A1" t="s">
        <v>8</v>
      </c>
      <c r="B1" t="s">
        <v>9</v>
      </c>
      <c r="C1" t="s">
        <v>13</v>
      </c>
      <c r="D1" t="s">
        <v>12</v>
      </c>
      <c r="E1" t="s">
        <v>15</v>
      </c>
      <c r="F1" t="s">
        <v>14</v>
      </c>
      <c r="G1" t="s">
        <v>16</v>
      </c>
      <c r="H1" t="s">
        <v>10</v>
      </c>
      <c r="I1" t="s">
        <v>11</v>
      </c>
    </row>
    <row r="2" spans="1:9">
      <c r="A2">
        <v>1</v>
      </c>
      <c r="B2">
        <f>SUMIFS(in!C:C,in!A:A,"&gt;20190100",in!A:A,"&lt;20190200")</f>
        <v>0</v>
      </c>
      <c r="C2">
        <f>SUMIFS(in!C:C,in!D:D,"=alipay",in!A:A,"&gt;20190100",in!A:A,"&lt;20190200")</f>
        <v>0</v>
      </c>
      <c r="D2">
        <f>SUMIFS(in!C:C,in!D:D,"=wechat",in!A:A,"&gt;20190100",in!A:A,"&lt;20190200")</f>
        <v>0</v>
      </c>
      <c r="E2">
        <f>SUMIFS(in!C:C,in!D:D,"=bilibili",in!A:A,"&gt;20190100",in!A:A,"&lt;20190200")</f>
        <v>0</v>
      </c>
      <c r="F2">
        <f>SUMIFS(in!C:C,in!D:D,"=paypal",in!A:A,"&gt;20190100",in!A:A,"&lt;20190200")</f>
        <v>0</v>
      </c>
      <c r="G2">
        <f>SUMIFS(in!C:C,in!D:D,"=other",in!A:A,"&gt;20190100",in!A:A,"&lt;20190200")</f>
        <v>0</v>
      </c>
      <c r="H2">
        <f>SUMIFS(out!C:C,out!A:A,"&gt;20190100",out!A:A,"&lt;20190200")</f>
        <v>0</v>
      </c>
      <c r="I2">
        <f t="shared" ref="I2:I13" si="0">B2-H2</f>
        <v>0</v>
      </c>
    </row>
    <row r="3" spans="1:9">
      <c r="A3">
        <v>2</v>
      </c>
      <c r="B3">
        <f>SUMIFS(in!C:C,in!A:A,"&gt;20190200",in!A:A,"&lt;20190300")</f>
        <v>0</v>
      </c>
      <c r="C3">
        <f>SUMIFS(in!C:C,in!D:D,"=alipay",in!A:A,"&gt;20190200",in!A:A,"&lt;20190300")</f>
        <v>0</v>
      </c>
      <c r="D3">
        <f>SUMIFS(in!C:C,in!D:D,"=wechat",in!A:A,"&gt;20190200",in!A:A,"&lt;20190300")</f>
        <v>0</v>
      </c>
      <c r="E3">
        <f>SUMIFS(in!C:C,in!D:D,"=bilibili",in!A:A,"&gt;20190200",in!A:A,"&lt;20190300")</f>
        <v>0</v>
      </c>
      <c r="F3">
        <f>SUMIFS(in!C:C,in!D:D,"=paypal",in!A:A,"&gt;20190200",in!A:A,"&lt;20190300")</f>
        <v>0</v>
      </c>
      <c r="G3">
        <f>SUMIFS(in!C:C,in!D:D,"=other",in!A:A,"&gt;20190200",in!A:A,"&lt;20190300")</f>
        <v>0</v>
      </c>
      <c r="H3">
        <f>SUMIFS(out!C:C,out!A:A,"&gt;20190200",out!A:A,"&lt;20190300")</f>
        <v>0</v>
      </c>
      <c r="I3">
        <f t="shared" si="0"/>
        <v>0</v>
      </c>
    </row>
    <row r="4" spans="1:9">
      <c r="A4">
        <v>3</v>
      </c>
      <c r="B4">
        <f>SUMIFS(in!C:C,in!A:A,"&gt;20190300",in!A:A,"&lt;20190400")</f>
        <v>0</v>
      </c>
      <c r="C4">
        <f>SUMIFS(in!C:C,in!D:D,"=alipay",in!A:A,"&gt;20190300",in!A:A,"&lt;20190400")</f>
        <v>0</v>
      </c>
      <c r="D4">
        <f>SUMIFS(in!C:C,in!D:D,"=wechat",in!A:A,"&gt;20190300",in!A:A,"&lt;20190400")</f>
        <v>0</v>
      </c>
      <c r="E4">
        <f>SUMIFS(in!C:C,in!D:D,"=bilibili",in!A:A,"&gt;20190300",in!A:A,"&lt;20190400")</f>
        <v>0</v>
      </c>
      <c r="F4">
        <f>SUMIFS(in!C:C,in!D:D,"=paypal",in!A:A,"&gt;20190300",in!A:A,"&lt;20190400")</f>
        <v>0</v>
      </c>
      <c r="G4">
        <f>SUMIFS(in!C:C,in!D:D,"=other",in!A:A,"&gt;20190300",in!A:A,"&lt;20190400")</f>
        <v>0</v>
      </c>
      <c r="H4">
        <f>SUMIFS(out!C:C,out!A:A,"&gt;20190300",out!A:A,"&lt;20190400")</f>
        <v>0</v>
      </c>
      <c r="I4">
        <f t="shared" si="0"/>
        <v>0</v>
      </c>
    </row>
    <row r="5" spans="1:9">
      <c r="A5">
        <v>4</v>
      </c>
      <c r="B5">
        <f>SUMIFS(in!C:C,in!A:A,"&gt;20190400",in!A:A,"&lt;20190500")</f>
        <v>0</v>
      </c>
      <c r="C5">
        <f>SUMIFS(in!C:C,in!D:D,"=alipay",in!A:A,"&gt;20190400",in!A:A,"&lt;20190500")</f>
        <v>0</v>
      </c>
      <c r="D5">
        <f>SUMIFS(in!C:C,in!D:D,"=wechat",in!A:A,"&gt;20190400",in!A:A,"&lt;20190500")</f>
        <v>0</v>
      </c>
      <c r="E5">
        <f>SUMIFS(in!C:C,in!D:D,"=bilibili",in!A:A,"&gt;20190400",in!A:A,"&lt;20190500")</f>
        <v>0</v>
      </c>
      <c r="F5">
        <f>SUMIFS(in!C:C,in!D:D,"=paypal",in!A:A,"&gt;20190400",in!A:A,"&lt;20190500")</f>
        <v>0</v>
      </c>
      <c r="G5">
        <f>SUMIFS(in!C:C,in!D:D,"=other",in!A:A,"&gt;20190400",in!A:A,"&lt;20190500")</f>
        <v>0</v>
      </c>
      <c r="H5">
        <f>SUMIFS(out!C:C,out!A:A,"&gt;20190400",out!A:A,"&lt;20190500")</f>
        <v>0</v>
      </c>
      <c r="I5">
        <f t="shared" si="0"/>
        <v>0</v>
      </c>
    </row>
    <row r="6" spans="1:9">
      <c r="A6">
        <v>5</v>
      </c>
      <c r="B6">
        <f>SUMIFS(in!C:C,in!A:A,"&gt;20190500",in!A:A,"&lt;20190600")</f>
        <v>0</v>
      </c>
      <c r="C6">
        <f>SUMIFS(in!C:C,in!D:D,"=alipay",in!A:A,"&gt;20190500",in!A:A,"&lt;20190600")</f>
        <v>0</v>
      </c>
      <c r="D6">
        <f>SUMIFS(in!C:C,in!D:D,"=wechat",in!A:A,"&gt;20190500",in!A:A,"&lt;20190600")</f>
        <v>0</v>
      </c>
      <c r="E6">
        <f>SUMIFS(in!C:C,in!D:D,"=bilibili",in!A:A,"&gt;20190500",in!A:A,"&lt;20190600")</f>
        <v>0</v>
      </c>
      <c r="F6">
        <f>SUMIFS(in!C:C,in!D:D,"=paypal",in!A:A,"&gt;20190500",in!A:A,"&lt;20190600")</f>
        <v>0</v>
      </c>
      <c r="G6">
        <f>SUMIFS(in!C:C,in!D:D,"=other",in!A:A,"&gt;20190500",in!A:A,"&lt;20190600")</f>
        <v>0</v>
      </c>
      <c r="H6">
        <f>SUMIFS(out!C:C,out!A:A,"&gt;20190500",out!A:A,"&lt;20190600")</f>
        <v>0</v>
      </c>
      <c r="I6">
        <f t="shared" si="0"/>
        <v>0</v>
      </c>
    </row>
    <row r="7" spans="1:9">
      <c r="A7">
        <v>6</v>
      </c>
      <c r="B7">
        <f>SUMIFS(in!C:C,in!A:A,"&gt;20190600",in!A:A,"&lt;20190700")</f>
        <v>0</v>
      </c>
      <c r="C7">
        <f>SUMIFS(in!C:C,in!D:D,"=alipay",in!A:A,"&gt;20190600",in!A:A,"&lt;20190700")</f>
        <v>0</v>
      </c>
      <c r="D7">
        <f>SUMIFS(in!C:C,in!D:D,"=wechat",in!A:A,"&gt;20190600",in!A:A,"&lt;20190700")</f>
        <v>0</v>
      </c>
      <c r="E7">
        <f>SUMIFS(in!C:C,in!D:D,"=bilibili",in!A:A,"&gt;20190600",in!A:A,"&lt;20190700")</f>
        <v>0</v>
      </c>
      <c r="F7">
        <f>SUMIFS(in!C:C,in!D:D,"=paypal",in!A:A,"&gt;20190600",in!A:A,"&lt;20190700")</f>
        <v>0</v>
      </c>
      <c r="G7">
        <f>SUMIFS(in!C:C,in!D:D,"=other",in!A:A,"&gt;20190600",in!A:A,"&lt;20190700")</f>
        <v>0</v>
      </c>
      <c r="H7">
        <f>SUMIFS(out!C:C,out!A:A,"&gt;20190600",out!A:A,"&lt;20190700")</f>
        <v>0</v>
      </c>
      <c r="I7">
        <f t="shared" si="0"/>
        <v>0</v>
      </c>
    </row>
    <row r="8" spans="1:9">
      <c r="A8">
        <v>7</v>
      </c>
      <c r="B8">
        <f>SUMIFS(in!C:C,in!A:A,"&gt;20190700",in!A:A,"&lt;20190800")</f>
        <v>0</v>
      </c>
      <c r="C8">
        <f>SUMIFS(in!C:C,in!D:D,"=alipay",in!A:A,"&gt;20190700",in!A:A,"&lt;20190800")</f>
        <v>0</v>
      </c>
      <c r="D8">
        <f>SUMIFS(in!C:C,in!D:D,"=wechat",in!A:A,"&gt;20190700",in!A:A,"&lt;20190800")</f>
        <v>0</v>
      </c>
      <c r="E8">
        <f>SUMIFS(in!C:C,in!D:D,"=bilibili",in!A:A,"&gt;20190700",in!A:A,"&lt;20190800")</f>
        <v>0</v>
      </c>
      <c r="F8">
        <f>SUMIFS(in!C:C,in!D:D,"=paypal",in!A:A,"&gt;20190700",in!A:A,"&lt;20190800")</f>
        <v>0</v>
      </c>
      <c r="G8">
        <f>SUMIFS(in!C:C,in!D:D,"=other",in!A:A,"&gt;20190700",in!A:A,"&lt;20190800")</f>
        <v>0</v>
      </c>
      <c r="H8">
        <f>SUMIFS(out!C:C,out!A:A,"&gt;20190700",out!A:A,"&lt;20190800")</f>
        <v>0</v>
      </c>
      <c r="I8">
        <f t="shared" si="0"/>
        <v>0</v>
      </c>
    </row>
    <row r="9" spans="1:9">
      <c r="A9">
        <v>8</v>
      </c>
      <c r="B9">
        <f>SUMIFS(in!C:C,in!A:A,"&gt;20190800",in!A:A,"&lt;20190900")</f>
        <v>722.66</v>
      </c>
      <c r="C9">
        <f>SUMIFS(in!C:C,in!D:D,"=alipay",in!A:A,"&gt;20190800",in!A:A,"&lt;20190900")</f>
        <v>472.66</v>
      </c>
      <c r="D9">
        <f>SUMIFS(in!C:C,in!D:D,"=wechat",in!A:A,"&gt;20190800",in!A:A,"&lt;20190900")</f>
        <v>250</v>
      </c>
      <c r="E9">
        <f>SUMIFS(in!C:C,in!D:D,"=bilibili",in!A:A,"&gt;20190800",in!A:A,"&lt;20190900")</f>
        <v>0</v>
      </c>
      <c r="F9">
        <f>SUMIFS(in!C:C,in!D:D,"=paypal",in!A:A,"&gt;20190800",in!A:A,"&lt;20190900")</f>
        <v>0</v>
      </c>
      <c r="G9">
        <f>SUMIFS(in!C:C,in!D:D,"=other",in!A:A,"&gt;20190800",in!A:A,"&lt;20190900")</f>
        <v>0</v>
      </c>
      <c r="H9">
        <f>SUMIFS(out!C:C,out!A:A,"&gt;20190800",out!A:A,"&lt;20190900")</f>
        <v>162</v>
      </c>
      <c r="I9">
        <f t="shared" si="0"/>
        <v>560.66</v>
      </c>
    </row>
    <row r="10" spans="1:9">
      <c r="A10">
        <v>9</v>
      </c>
      <c r="B10">
        <f>SUMIFS(in!C:C,in!A:A,"&gt;20190900",in!A:A,"&lt;20191000")</f>
        <v>883</v>
      </c>
      <c r="C10">
        <f>SUMIFS(in!C:C,in!D:D,"=alipay",in!A:A,"&gt;20190900",in!A:A,"&lt;20191000")</f>
        <v>819</v>
      </c>
      <c r="D10">
        <f>SUMIFS(in!C:C,in!D:D,"=wechat",in!A:A,"&gt;20190900",in!A:A,"&lt;20191000")</f>
        <v>64</v>
      </c>
      <c r="E10">
        <f>SUMIFS(in!C:C,in!D:D,"=bilibili",in!A:A,"&gt;20190900",in!A:A,"&lt;20191000")</f>
        <v>0</v>
      </c>
      <c r="F10">
        <f>SUMIFS(in!C:C,in!D:D,"=paypal",in!A:A,"&gt;20190900",in!A:A,"&lt;20191000")</f>
        <v>0</v>
      </c>
      <c r="G10">
        <f>SUMIFS(in!C:C,in!D:D,"=other",in!A:A,"&gt;20190900",in!A:A,"&lt;20191000")</f>
        <v>0</v>
      </c>
      <c r="H10">
        <f>SUMIFS(out!C:C,out!A:A,"&gt;20190900",out!A:A,"&lt;20191000")</f>
        <v>121.1</v>
      </c>
      <c r="I10">
        <f t="shared" si="0"/>
        <v>761.9</v>
      </c>
    </row>
    <row r="11" spans="1:9">
      <c r="A11">
        <v>10</v>
      </c>
      <c r="B11">
        <f>SUMIFS(in!C:C,in!A:A,"&gt;20191000",in!A:A,"&lt;20191100")</f>
        <v>108</v>
      </c>
      <c r="C11">
        <f>SUMIFS(in!C:C,in!D:D,"=alipay",in!A:A,"&gt;20191000",in!A:A,"&lt;20191100")</f>
        <v>3</v>
      </c>
      <c r="D11">
        <f>SUMIFS(in!C:C,in!D:D,"=wechat",in!A:A,"&gt;20191000",in!A:A,"&lt;20191100")</f>
        <v>105</v>
      </c>
      <c r="E11">
        <f>SUMIFS(in!C:C,in!D:D,"=bilibili",in!A:A,"&gt;20191000",in!A:A,"&lt;20191100")</f>
        <v>0</v>
      </c>
      <c r="F11">
        <f>SUMIFS(in!C:C,in!D:D,"=paypal",in!A:A,"&gt;20191000",in!A:A,"&lt;20191100")</f>
        <v>0</v>
      </c>
      <c r="G11">
        <f>SUMIFS(in!C:C,in!D:D,"=other",in!A:A,"&gt;20191000",in!A:A,"&lt;20191100")</f>
        <v>0</v>
      </c>
      <c r="H11">
        <f>SUMIFS(out!C:C,out!A:A,"&gt;20191000",out!A:A,"&lt;20191100")</f>
        <v>178.2</v>
      </c>
      <c r="I11">
        <f t="shared" si="0"/>
        <v>-70.199999999999989</v>
      </c>
    </row>
    <row r="12" spans="1:9">
      <c r="A12">
        <v>11</v>
      </c>
      <c r="B12">
        <f>SUMIFS(in!C:C,in!A:A,"&gt;20191100",in!A:A,"&lt;20191200")</f>
        <v>0</v>
      </c>
      <c r="C12">
        <f>SUMIFS(in!C:C,in!D:D,"=alipay",in!A:A,"&gt;20191100",in!A:A,"&lt;20191200")</f>
        <v>0</v>
      </c>
      <c r="D12">
        <f>SUMIFS(in!C:C,in!D:D,"=wechat",in!A:A,"&gt;20191100",in!A:A,"&lt;20191200")</f>
        <v>0</v>
      </c>
      <c r="E12">
        <f>SUMIFS(in!C:C,in!D:D,"=bilibili",in!A:A,"&gt;20191100",in!A:A,"&lt;20191200")</f>
        <v>0</v>
      </c>
      <c r="F12">
        <f>SUMIFS(in!C:C,in!D:D,"=paypal",in!A:A,"&gt;20191100",in!A:A,"&lt;20191200")</f>
        <v>0</v>
      </c>
      <c r="G12">
        <f>SUMIFS(in!C:C,in!D:D,"=other",in!A:A,"&gt;20191100",in!A:A,"&lt;20191200")</f>
        <v>0</v>
      </c>
      <c r="H12">
        <f>SUMIFS(out!C:C,out!A:A,"&gt;20191100",out!A:A,"&lt;20191200")</f>
        <v>0</v>
      </c>
      <c r="I12">
        <f t="shared" si="0"/>
        <v>0</v>
      </c>
    </row>
    <row r="13" spans="1:9">
      <c r="A13">
        <v>12</v>
      </c>
      <c r="B13">
        <f>SUMIFS(in!C:C,in!A:A,"&gt;20191200",in!A:A,"&lt;20191232")</f>
        <v>0</v>
      </c>
      <c r="C13">
        <f>SUMIFS(in!C:C,in!D:D,"=alipay",in!A:A,"&gt;20191100",in!A:A,"&lt;20191200")</f>
        <v>0</v>
      </c>
      <c r="D13">
        <f>SUMIFS(in!C:C,in!D:D,"=wechat",in!A:A,"&gt;20191100",in!A:A,"&lt;20191200")</f>
        <v>0</v>
      </c>
      <c r="E13">
        <f>SUMIFS(in!C:C,in!D:D,"=bilibili",in!A:A,"&gt;20191100",in!A:A,"&lt;20191200")</f>
        <v>0</v>
      </c>
      <c r="F13">
        <f>SUMIFS(in!C:C,in!D:D,"=paypal",in!A:A,"&gt;20191100",in!A:A,"&lt;20191200")</f>
        <v>0</v>
      </c>
      <c r="G13">
        <f>SUMIFS(in!C:C,in!D:D,"=other",in!A:A,"&gt;20191100",in!A:A,"&lt;20191200")</f>
        <v>0</v>
      </c>
      <c r="H13">
        <f>SUMIFS(out!C:C,out!A:A,"&gt;20191200",out!A:A,"&lt;20191232")</f>
        <v>0</v>
      </c>
      <c r="I13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out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ZL_Asica</cp:lastModifiedBy>
  <dcterms:created xsi:type="dcterms:W3CDTF">2015-06-05T18:19:34Z</dcterms:created>
  <dcterms:modified xsi:type="dcterms:W3CDTF">2019-10-10T01:52:16Z</dcterms:modified>
</cp:coreProperties>
</file>