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cefetrjbr.sharepoint.com/sites/PPCIC-ComissoCredenciamento/Documentos Compartilhados/Comissão Credenciamento/"/>
    </mc:Choice>
  </mc:AlternateContent>
  <xr:revisionPtr revIDLastSave="2292" documentId="13_ncr:1_{0FF3F635-80A7-AC4E-A069-57C586A8B2DC}" xr6:coauthVersionLast="47" xr6:coauthVersionMax="47" xr10:uidLastSave="{D8E89A9A-8B75-43C5-B8FE-D0BBD3F36EE7}"/>
  <bookViews>
    <workbookView minimized="1" xWindow="1170" yWindow="1170" windowWidth="15375" windowHeight="7875" tabRatio="500" activeTab="1" xr2:uid="{00000000-000D-0000-FFFF-FFFF00000000}"/>
  </bookViews>
  <sheets>
    <sheet name="Planejamento" sheetId="13" r:id="rId1"/>
    <sheet name="Geral" sheetId="1" r:id="rId2"/>
    <sheet name="Conferencias" sheetId="2" r:id="rId3"/>
    <sheet name="Periodicos" sheetId="3" r:id="rId4"/>
    <sheet name="Tecnica" sheetId="12" r:id="rId5"/>
    <sheet name="LConferencias" sheetId="8" r:id="rId6"/>
    <sheet name="LPeriodicos" sheetId="7" r:id="rId7"/>
    <sheet name="Tabelas" sheetId="4" r:id="rId8"/>
    <sheet name="Producao" sheetId="9" r:id="rId9"/>
    <sheet name="HIndex" sheetId="6" r:id="rId10"/>
    <sheet name="Discentes" sheetId="10" r:id="rId11"/>
    <sheet name="Docentes" sheetId="11" r:id="rId12"/>
  </sheets>
  <definedNames>
    <definedName name="_xlnm._FilterDatabase" localSheetId="2" hidden="1">Conferencias!$A$1:$AE$55</definedName>
    <definedName name="_xlnm._FilterDatabase" localSheetId="10" hidden="1">Discentes!$A$1:$B$1</definedName>
    <definedName name="_xlnm._FilterDatabase" localSheetId="11" hidden="1">Docentes!$A$1:$C$1</definedName>
    <definedName name="_xlnm._FilterDatabase" localSheetId="6" hidden="1">LPeriodicos!$A$1:$M$1</definedName>
    <definedName name="_xlnm._FilterDatabase" localSheetId="3" hidden="1">Periodicos!$A$1:$AE$39</definedName>
    <definedName name="_xlnm._FilterDatabase" localSheetId="4" hidden="1">Tecnica!$A$1:$Y$9</definedName>
    <definedName name="_xlnm.Print_Area" localSheetId="1">Geral!$A$1:$R$32</definedName>
    <definedName name="Z_72A84248_7528_4641_93C6_9429A7C96A1B_.wvu.FilterData" localSheetId="2" hidden="1">Conferencias!#REF!</definedName>
    <definedName name="Z_72A84248_7528_4641_93C6_9429A7C96A1B_.wvu.FilterData" localSheetId="4" hidden="1">Tecnica!#REF!</definedName>
    <definedName name="Z_72A84248_7528_4641_93C6_9429A7C96A1B_.wvu.PrintArea" localSheetId="1" hidden="1">Geral!$A$1:$R$32</definedName>
    <definedName name="Z_D17159D6_6700_6A49_8FAF_59B9A63C8B44_.wvu.PrintArea" localSheetId="1" hidden="1">Geral!$A$1:$R$32</definedName>
  </definedNames>
  <calcPr calcId="191028"/>
  <customWorkbookViews>
    <customWorkbookView name="Eduardo Ogasawara - Modo de exibição pessoal" guid="{72A84248-7528-4641-93C6-9429A7C96A1B}" mergeInterval="0" personalView="1" maximized="1" xWindow="54" yWindow="-8" windowWidth="1874" windowHeight="1096" tabRatio="500" activeSheetId="6"/>
    <customWorkbookView name="Microsoft Office User - Personal View" guid="{D17159D6-6700-6A49-8FAF-59B9A63C8B44}" mergeInterval="0" personalView="1" maximized="1" windowWidth="1280" windowHeight="553" tabRatio="500" activeSheetId="1"/>
  </customWorkbookViews>
  <pivotCaches>
    <pivotCache cacheId="0" r:id="rId13"/>
    <pivotCache cacheId="1" r:id="rId1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8" i="13" l="1"/>
  <c r="AB28" i="13"/>
  <c r="AC27" i="13"/>
  <c r="AC26" i="13"/>
  <c r="AC25" i="13"/>
  <c r="AC24" i="13"/>
  <c r="AC23" i="13"/>
  <c r="AC22" i="13"/>
  <c r="AC29" i="13"/>
  <c r="AC21" i="13"/>
  <c r="AC20" i="13"/>
  <c r="AC19" i="13"/>
  <c r="AB27" i="13"/>
  <c r="AB26" i="13"/>
  <c r="AB25" i="13"/>
  <c r="AB24" i="13"/>
  <c r="AB23" i="13"/>
  <c r="AB22" i="13"/>
  <c r="AB21" i="13"/>
  <c r="AB20" i="13"/>
  <c r="AB19" i="13"/>
  <c r="AC13" i="13"/>
  <c r="AC12" i="13"/>
  <c r="AC11" i="13"/>
  <c r="AC10" i="13"/>
  <c r="AC9" i="13"/>
  <c r="AC8" i="13"/>
  <c r="AC7" i="13"/>
  <c r="AC6" i="13"/>
  <c r="AC5" i="13"/>
  <c r="AC4" i="13"/>
  <c r="AB13" i="13"/>
  <c r="AB12" i="13"/>
  <c r="AB11" i="13"/>
  <c r="AB10" i="13"/>
  <c r="AB9" i="13"/>
  <c r="AB8" i="13"/>
  <c r="AB7" i="13"/>
  <c r="AB6" i="13"/>
  <c r="AB5" i="13"/>
  <c r="AB4" i="13"/>
  <c r="AB29" i="13"/>
  <c r="L70" i="7"/>
  <c r="M70" i="7" s="1"/>
  <c r="B70" i="7" s="1"/>
  <c r="K70" i="7"/>
  <c r="AC41" i="3"/>
  <c r="AD41" i="3" s="1"/>
  <c r="AE41" i="3" s="1"/>
  <c r="H41" i="3"/>
  <c r="G41" i="3"/>
  <c r="F41" i="3"/>
  <c r="AB41" i="3" s="1"/>
  <c r="AC39" i="3"/>
  <c r="AD39" i="3" s="1"/>
  <c r="AE39" i="3" s="1"/>
  <c r="H39" i="3"/>
  <c r="G39" i="3"/>
  <c r="F39" i="3"/>
  <c r="AB39" i="3" s="1"/>
  <c r="L69" i="7"/>
  <c r="M69" i="7" s="1"/>
  <c r="B69" i="7" s="1"/>
  <c r="K69" i="7"/>
  <c r="AC38" i="3"/>
  <c r="AD38" i="3" s="1"/>
  <c r="AE38" i="3" s="1"/>
  <c r="H38" i="3"/>
  <c r="G38" i="3"/>
  <c r="L68" i="7"/>
  <c r="M68" i="7" s="1"/>
  <c r="B68" i="7" s="1"/>
  <c r="K68" i="7"/>
  <c r="AC37" i="3"/>
  <c r="AD37" i="3" s="1"/>
  <c r="G37" i="3"/>
  <c r="L12" i="13"/>
  <c r="K12" i="13"/>
  <c r="J12" i="13"/>
  <c r="I12" i="13"/>
  <c r="H12" i="13"/>
  <c r="G12" i="13"/>
  <c r="F12" i="13"/>
  <c r="E12" i="13"/>
  <c r="D12" i="13"/>
  <c r="C12" i="13"/>
  <c r="L11" i="13"/>
  <c r="K11" i="13"/>
  <c r="J11" i="13"/>
  <c r="I11" i="13"/>
  <c r="H11" i="13"/>
  <c r="G11" i="13"/>
  <c r="F11" i="13"/>
  <c r="E11" i="13"/>
  <c r="D11" i="13"/>
  <c r="C11" i="13"/>
  <c r="L10" i="13"/>
  <c r="K10" i="13"/>
  <c r="J10" i="13"/>
  <c r="I10" i="13"/>
  <c r="H10" i="13"/>
  <c r="G10" i="13"/>
  <c r="F10" i="13"/>
  <c r="E10" i="13"/>
  <c r="D10" i="13"/>
  <c r="C10" i="13"/>
  <c r="L9" i="13"/>
  <c r="K9" i="13"/>
  <c r="J9" i="13"/>
  <c r="I9" i="13"/>
  <c r="H9" i="13"/>
  <c r="G9" i="13"/>
  <c r="F9" i="13"/>
  <c r="E9" i="13"/>
  <c r="D9" i="13"/>
  <c r="C9" i="13"/>
  <c r="L8" i="13"/>
  <c r="K8" i="13"/>
  <c r="J8" i="13"/>
  <c r="I8" i="13"/>
  <c r="H8" i="13"/>
  <c r="G8" i="13"/>
  <c r="F8" i="13"/>
  <c r="E8" i="13"/>
  <c r="D8" i="13"/>
  <c r="C8" i="13"/>
  <c r="L7" i="13"/>
  <c r="K7" i="13"/>
  <c r="J7" i="13"/>
  <c r="I7" i="13"/>
  <c r="H7" i="13"/>
  <c r="G7" i="13"/>
  <c r="F7" i="13"/>
  <c r="E7" i="13"/>
  <c r="D7" i="13"/>
  <c r="C7" i="13"/>
  <c r="L6" i="13"/>
  <c r="K6" i="13"/>
  <c r="J6" i="13"/>
  <c r="I6" i="13"/>
  <c r="H6" i="13"/>
  <c r="G6" i="13"/>
  <c r="F6" i="13"/>
  <c r="E6" i="13"/>
  <c r="D6" i="13"/>
  <c r="C6" i="13"/>
  <c r="L5" i="13"/>
  <c r="K5" i="13"/>
  <c r="J5" i="13"/>
  <c r="I5" i="13"/>
  <c r="H5" i="13"/>
  <c r="G5" i="13"/>
  <c r="F5" i="13"/>
  <c r="E5" i="13"/>
  <c r="D5" i="13"/>
  <c r="C5" i="13"/>
  <c r="L4" i="13"/>
  <c r="L13" i="13" s="1"/>
  <c r="K4" i="13"/>
  <c r="K13" i="13" s="1"/>
  <c r="J4" i="13"/>
  <c r="J13" i="13" s="1"/>
  <c r="I4" i="13"/>
  <c r="I13" i="13" s="1"/>
  <c r="H4" i="13"/>
  <c r="H13" i="13" s="1"/>
  <c r="G4" i="13"/>
  <c r="G13" i="13" s="1"/>
  <c r="F4" i="13"/>
  <c r="F13" i="13" s="1"/>
  <c r="E4" i="13"/>
  <c r="E13" i="13" s="1"/>
  <c r="D4" i="13"/>
  <c r="D13" i="13" s="1"/>
  <c r="C4" i="13"/>
  <c r="C13" i="13" s="1"/>
  <c r="L42" i="7"/>
  <c r="K42" i="7"/>
  <c r="AC36" i="3"/>
  <c r="AD36" i="3" s="1"/>
  <c r="G36" i="3"/>
  <c r="I67" i="2"/>
  <c r="H67" i="2"/>
  <c r="G67" i="2"/>
  <c r="F67" i="2"/>
  <c r="AB67" i="2" s="1"/>
  <c r="AC67" i="2"/>
  <c r="AD67" i="2" s="1"/>
  <c r="AC65" i="2"/>
  <c r="AD65" i="2" s="1"/>
  <c r="AC64" i="2"/>
  <c r="AD64" i="2" s="1"/>
  <c r="I65" i="2"/>
  <c r="H65" i="2"/>
  <c r="G65" i="2"/>
  <c r="F65" i="2"/>
  <c r="AB65" i="2" s="1"/>
  <c r="I64" i="2"/>
  <c r="H64" i="2"/>
  <c r="G64" i="2"/>
  <c r="F64" i="2"/>
  <c r="AB64" i="2" s="1"/>
  <c r="AC60" i="2"/>
  <c r="AD60" i="2" s="1"/>
  <c r="I60" i="2"/>
  <c r="H60" i="2"/>
  <c r="G60" i="2"/>
  <c r="F60" i="2"/>
  <c r="AB60" i="2" s="1"/>
  <c r="AC59" i="2"/>
  <c r="AD59" i="2" s="1"/>
  <c r="I59" i="2"/>
  <c r="H59" i="2"/>
  <c r="G59" i="2"/>
  <c r="F59" i="2"/>
  <c r="AB59" i="2" s="1"/>
  <c r="E78" i="8"/>
  <c r="D78" i="8"/>
  <c r="C78" i="8"/>
  <c r="AC58" i="2"/>
  <c r="AD58" i="2" s="1"/>
  <c r="I58" i="2"/>
  <c r="H58" i="2"/>
  <c r="G58" i="2"/>
  <c r="F58" i="2"/>
  <c r="AB58" i="2" s="1"/>
  <c r="AC57" i="2"/>
  <c r="AD57" i="2" s="1"/>
  <c r="I57" i="2"/>
  <c r="H57" i="2"/>
  <c r="G57" i="2"/>
  <c r="F57" i="2"/>
  <c r="AB57" i="2" s="1"/>
  <c r="AC54" i="2"/>
  <c r="AD54" i="2" s="1"/>
  <c r="I54" i="2"/>
  <c r="H54" i="2"/>
  <c r="G54" i="2"/>
  <c r="F54" i="2"/>
  <c r="AB54" i="2" s="1"/>
  <c r="AC52" i="2"/>
  <c r="AD52" i="2" s="1"/>
  <c r="I52" i="2"/>
  <c r="H52" i="2"/>
  <c r="G52" i="2"/>
  <c r="F52" i="2"/>
  <c r="AB52" i="2" s="1"/>
  <c r="AC51" i="2"/>
  <c r="AD51" i="2" s="1"/>
  <c r="AC50" i="2"/>
  <c r="AD50" i="2" s="1"/>
  <c r="I51" i="2"/>
  <c r="H51" i="2"/>
  <c r="G51" i="2"/>
  <c r="F51" i="2"/>
  <c r="AB51" i="2" s="1"/>
  <c r="I50" i="2"/>
  <c r="H50" i="2"/>
  <c r="G50" i="2"/>
  <c r="F50" i="2"/>
  <c r="AB50" i="2" s="1"/>
  <c r="AC49" i="2"/>
  <c r="AD49" i="2" s="1"/>
  <c r="I49" i="2"/>
  <c r="H49" i="2"/>
  <c r="G49" i="2"/>
  <c r="F49" i="2"/>
  <c r="AB49" i="2" s="1"/>
  <c r="AC47" i="2"/>
  <c r="AD47" i="2" s="1"/>
  <c r="AC61" i="2"/>
  <c r="AD61" i="2" s="1"/>
  <c r="I47" i="2"/>
  <c r="H47" i="2"/>
  <c r="G47" i="2"/>
  <c r="F47" i="2"/>
  <c r="AB47" i="2" s="1"/>
  <c r="E70" i="7" l="1"/>
  <c r="D70" i="7"/>
  <c r="F38" i="3"/>
  <c r="AB38" i="3" s="1"/>
  <c r="E69" i="7"/>
  <c r="D69" i="7"/>
  <c r="E68" i="7"/>
  <c r="F37" i="3"/>
  <c r="AB37" i="3" s="1"/>
  <c r="D68" i="7"/>
  <c r="M42" i="7"/>
  <c r="B42" i="7" s="1"/>
  <c r="AE47" i="2"/>
  <c r="AE58" i="2"/>
  <c r="AE59" i="2"/>
  <c r="AE57" i="2"/>
  <c r="AE67" i="2"/>
  <c r="AE65" i="2"/>
  <c r="AE64" i="2"/>
  <c r="AE60" i="2"/>
  <c r="AE54" i="2"/>
  <c r="AE52" i="2"/>
  <c r="AE51" i="2"/>
  <c r="AE50" i="2"/>
  <c r="AE49" i="2"/>
  <c r="D42" i="7" l="1"/>
  <c r="E42" i="7"/>
  <c r="L44" i="7"/>
  <c r="K44" i="7"/>
  <c r="AC24" i="3"/>
  <c r="AD24" i="3" s="1"/>
  <c r="G24" i="3"/>
  <c r="H34" i="13"/>
  <c r="H33" i="13"/>
  <c r="P40" i="13"/>
  <c r="N40" i="13"/>
  <c r="O40" i="13" s="1"/>
  <c r="P39" i="13"/>
  <c r="N39" i="13"/>
  <c r="O39" i="13" s="1"/>
  <c r="P38" i="13"/>
  <c r="N38" i="13"/>
  <c r="O38" i="13" s="1"/>
  <c r="P37" i="13"/>
  <c r="N37" i="13"/>
  <c r="O37" i="13" s="1"/>
  <c r="P35" i="13"/>
  <c r="T34" i="13"/>
  <c r="N34" i="13"/>
  <c r="O34" i="13" s="1"/>
  <c r="T33" i="13"/>
  <c r="N33" i="13"/>
  <c r="O33" i="13" s="1"/>
  <c r="T32" i="13"/>
  <c r="S32" i="13"/>
  <c r="Q32" i="13"/>
  <c r="U32" i="13" s="1"/>
  <c r="U31" i="13"/>
  <c r="T31" i="13"/>
  <c r="S31" i="13"/>
  <c r="O31" i="13"/>
  <c r="E35" i="13"/>
  <c r="C35" i="13"/>
  <c r="I34" i="13"/>
  <c r="I33" i="13"/>
  <c r="I32" i="13"/>
  <c r="H32" i="13"/>
  <c r="F32" i="13"/>
  <c r="J32" i="13" s="1"/>
  <c r="J31" i="13"/>
  <c r="I31" i="13"/>
  <c r="H31" i="13"/>
  <c r="D31" i="13"/>
  <c r="M44" i="7" l="1"/>
  <c r="B44" i="7" s="1"/>
  <c r="D44" i="7" s="1"/>
  <c r="H24" i="3" s="1"/>
  <c r="I35" i="13"/>
  <c r="T35" i="13"/>
  <c r="F33" i="13"/>
  <c r="J33" i="13" s="1"/>
  <c r="F24" i="3"/>
  <c r="AB24" i="3" s="1"/>
  <c r="E44" i="7"/>
  <c r="AE24" i="3" s="1"/>
  <c r="Q33" i="13"/>
  <c r="N35" i="13"/>
  <c r="F34" i="13"/>
  <c r="U33" i="13" l="1"/>
  <c r="Q34" i="13"/>
  <c r="J34" i="13"/>
  <c r="Q37" i="13" l="1"/>
  <c r="U34" i="13"/>
  <c r="Q38" i="13" l="1"/>
  <c r="U37" i="13"/>
  <c r="U38" i="13" l="1"/>
  <c r="Q39" i="13"/>
  <c r="Q40" i="13" l="1"/>
  <c r="U40" i="13" s="1"/>
  <c r="U39" i="13"/>
  <c r="D26" i="1" l="1"/>
  <c r="F9" i="12"/>
  <c r="F8" i="12"/>
  <c r="F7" i="12"/>
  <c r="F6" i="12"/>
  <c r="F5" i="12"/>
  <c r="F4" i="12"/>
  <c r="F3" i="12"/>
  <c r="Y9" i="12"/>
  <c r="Y8" i="12"/>
  <c r="Y7" i="12"/>
  <c r="Y6" i="12"/>
  <c r="Y5" i="12"/>
  <c r="Y4" i="12"/>
  <c r="Y3" i="12"/>
  <c r="Y2" i="12"/>
  <c r="F2" i="12"/>
  <c r="W1" i="12"/>
  <c r="Q26" i="1" s="1"/>
  <c r="V1" i="12"/>
  <c r="P26" i="1" s="1"/>
  <c r="U1" i="12"/>
  <c r="O26" i="1" s="1"/>
  <c r="T1" i="12"/>
  <c r="N26" i="1" s="1"/>
  <c r="S1" i="12"/>
  <c r="M26" i="1" s="1"/>
  <c r="R1" i="12"/>
  <c r="L26" i="1" s="1"/>
  <c r="Q1" i="12"/>
  <c r="K26" i="1" s="1"/>
  <c r="P1" i="12"/>
  <c r="J26" i="1" s="1"/>
  <c r="O1" i="12"/>
  <c r="I26" i="1" s="1"/>
  <c r="N1" i="12"/>
  <c r="H26" i="1" s="1"/>
  <c r="M1" i="12"/>
  <c r="G26" i="1" s="1"/>
  <c r="L1" i="12"/>
  <c r="F26" i="1" s="1"/>
  <c r="K1" i="12"/>
  <c r="E26" i="1" s="1"/>
  <c r="I1" i="12"/>
  <c r="C26" i="1" s="1"/>
  <c r="H1" i="12"/>
  <c r="B26" i="1" s="1"/>
  <c r="I15" i="2"/>
  <c r="I35" i="2"/>
  <c r="I8" i="2"/>
  <c r="F61" i="2"/>
  <c r="AB61" i="2" s="1"/>
  <c r="G61" i="2"/>
  <c r="H61" i="2"/>
  <c r="I61" i="2"/>
  <c r="D61" i="8"/>
  <c r="E61" i="8"/>
  <c r="C61" i="8"/>
  <c r="F45" i="2"/>
  <c r="AB45" i="2" s="1"/>
  <c r="F46" i="2"/>
  <c r="AB46" i="2" s="1"/>
  <c r="F48" i="2"/>
  <c r="AB48" i="2" s="1"/>
  <c r="F53" i="2"/>
  <c r="AB53" i="2" s="1"/>
  <c r="F55" i="2"/>
  <c r="AB55" i="2" s="1"/>
  <c r="F56" i="2"/>
  <c r="AB56" i="2" s="1"/>
  <c r="F62" i="2"/>
  <c r="AB62" i="2" s="1"/>
  <c r="F63" i="2"/>
  <c r="AB63" i="2" s="1"/>
  <c r="F66" i="2"/>
  <c r="AB66" i="2" s="1"/>
  <c r="AC45" i="2"/>
  <c r="AD45" i="2" s="1"/>
  <c r="AC46" i="2"/>
  <c r="AD46" i="2" s="1"/>
  <c r="AC48" i="2"/>
  <c r="AD48" i="2" s="1"/>
  <c r="AC53" i="2"/>
  <c r="AD53" i="2" s="1"/>
  <c r="AC55" i="2"/>
  <c r="AD55" i="2" s="1"/>
  <c r="AC56" i="2"/>
  <c r="AD56" i="2" s="1"/>
  <c r="AC62" i="2"/>
  <c r="AD62" i="2" s="1"/>
  <c r="AC63" i="2"/>
  <c r="AD63" i="2" s="1"/>
  <c r="AC66" i="2"/>
  <c r="AD66" i="2" s="1"/>
  <c r="I45" i="2"/>
  <c r="I46" i="2"/>
  <c r="I48" i="2"/>
  <c r="I53" i="2"/>
  <c r="I55" i="2"/>
  <c r="I56" i="2"/>
  <c r="I62" i="2"/>
  <c r="I63" i="2"/>
  <c r="I66" i="2"/>
  <c r="D14" i="1"/>
  <c r="D15" i="1"/>
  <c r="K56" i="7"/>
  <c r="L56" i="7"/>
  <c r="K62" i="7"/>
  <c r="L62" i="7"/>
  <c r="M62" i="7" s="1"/>
  <c r="B62" i="7" s="1"/>
  <c r="K16" i="7"/>
  <c r="L16" i="7"/>
  <c r="AC40" i="3"/>
  <c r="AD40" i="3" s="1"/>
  <c r="AC45" i="3"/>
  <c r="AD45" i="3" s="1"/>
  <c r="AC43" i="3"/>
  <c r="AD43" i="3" s="1"/>
  <c r="G40" i="3"/>
  <c r="G45" i="3"/>
  <c r="G43" i="3"/>
  <c r="K65" i="7"/>
  <c r="L65" i="7"/>
  <c r="AC44" i="3"/>
  <c r="AD44" i="3" s="1"/>
  <c r="G44" i="3"/>
  <c r="AC42" i="3"/>
  <c r="AD42" i="3" s="1"/>
  <c r="G42" i="3"/>
  <c r="K63" i="7"/>
  <c r="L63" i="7"/>
  <c r="K52" i="7"/>
  <c r="L52" i="7"/>
  <c r="M52" i="7" s="1"/>
  <c r="B52" i="7" s="1"/>
  <c r="L66" i="7"/>
  <c r="K66" i="7"/>
  <c r="G7" i="3"/>
  <c r="I7" i="3"/>
  <c r="G6" i="3"/>
  <c r="I6" i="3"/>
  <c r="AC7" i="3"/>
  <c r="AD7" i="3" s="1"/>
  <c r="AC6" i="3"/>
  <c r="AD6" i="3" s="1"/>
  <c r="G4" i="2"/>
  <c r="H4" i="2"/>
  <c r="I4" i="2"/>
  <c r="AC4" i="2"/>
  <c r="AD4" i="2" s="1"/>
  <c r="I10" i="2"/>
  <c r="AC10" i="2"/>
  <c r="AD10" i="2" s="1"/>
  <c r="I16" i="2"/>
  <c r="AC16" i="2"/>
  <c r="AD16" i="2" s="1"/>
  <c r="I17" i="2"/>
  <c r="AC17" i="2"/>
  <c r="AD17" i="2" s="1"/>
  <c r="I18" i="2"/>
  <c r="AC18" i="2"/>
  <c r="AD18" i="2" s="1"/>
  <c r="I20" i="2"/>
  <c r="AC20" i="2"/>
  <c r="AD20" i="2" s="1"/>
  <c r="I22" i="2"/>
  <c r="AC22" i="2"/>
  <c r="AD22" i="2" s="1"/>
  <c r="I25" i="2"/>
  <c r="AC25" i="2"/>
  <c r="AD25" i="2" s="1"/>
  <c r="I30" i="2"/>
  <c r="AC30" i="2"/>
  <c r="AD30" i="2" s="1"/>
  <c r="I32" i="2"/>
  <c r="AC32" i="2"/>
  <c r="AD32" i="2" s="1"/>
  <c r="I36" i="2"/>
  <c r="AC36" i="2"/>
  <c r="AD36" i="2" s="1"/>
  <c r="H7" i="2"/>
  <c r="I7" i="2"/>
  <c r="AC7" i="2"/>
  <c r="AD7" i="2" s="1"/>
  <c r="F4" i="2"/>
  <c r="AB4" i="2" s="1"/>
  <c r="F10" i="2"/>
  <c r="AB10" i="2" s="1"/>
  <c r="F16" i="2"/>
  <c r="AB16" i="2" s="1"/>
  <c r="F17" i="2"/>
  <c r="AB17" i="2" s="1"/>
  <c r="F18" i="2"/>
  <c r="AB18" i="2" s="1"/>
  <c r="F20" i="2"/>
  <c r="AB20" i="2" s="1"/>
  <c r="F22" i="2"/>
  <c r="AB22" i="2" s="1"/>
  <c r="F25" i="2"/>
  <c r="AB25" i="2" s="1"/>
  <c r="F30" i="2"/>
  <c r="AB30" i="2" s="1"/>
  <c r="F32" i="2"/>
  <c r="AB32" i="2" s="1"/>
  <c r="F36" i="2"/>
  <c r="AB36" i="2" s="1"/>
  <c r="E41" i="8"/>
  <c r="C41" i="8"/>
  <c r="F40" i="2"/>
  <c r="AC23" i="2"/>
  <c r="AD23" i="2" s="1"/>
  <c r="F2" i="2"/>
  <c r="AC3" i="2"/>
  <c r="AD3" i="2" s="1"/>
  <c r="F35" i="2"/>
  <c r="AC16" i="3"/>
  <c r="AD16" i="3" s="1"/>
  <c r="AC27" i="3"/>
  <c r="AD27" i="3" s="1"/>
  <c r="AC23" i="3"/>
  <c r="AD23" i="3" s="1"/>
  <c r="AC29" i="3"/>
  <c r="AD29" i="3" s="1"/>
  <c r="I27" i="3"/>
  <c r="G27" i="3"/>
  <c r="I15" i="3"/>
  <c r="G15" i="3"/>
  <c r="M63" i="7" l="1"/>
  <c r="B63" i="7" s="1"/>
  <c r="M56" i="7"/>
  <c r="B56" i="7" s="1"/>
  <c r="AE61" i="2"/>
  <c r="AE25" i="2"/>
  <c r="AE55" i="2"/>
  <c r="AE36" i="2"/>
  <c r="AE56" i="2"/>
  <c r="AE46" i="2"/>
  <c r="AE66" i="2"/>
  <c r="AE53" i="2"/>
  <c r="AE30" i="2"/>
  <c r="AE22" i="2"/>
  <c r="AE20" i="2"/>
  <c r="AE48" i="2"/>
  <c r="AE32" i="2"/>
  <c r="AE62" i="2"/>
  <c r="AE45" i="2"/>
  <c r="AE63" i="2"/>
  <c r="AE18" i="2"/>
  <c r="M65" i="7"/>
  <c r="B65" i="7" s="1"/>
  <c r="E65" i="7" s="1"/>
  <c r="AE10" i="2"/>
  <c r="M16" i="7"/>
  <c r="B16" i="7" s="1"/>
  <c r="D16" i="7" s="1"/>
  <c r="H43" i="3" s="1"/>
  <c r="E62" i="7"/>
  <c r="AE45" i="3" s="1"/>
  <c r="F45" i="3"/>
  <c r="AB45" i="3" s="1"/>
  <c r="D62" i="7"/>
  <c r="H45" i="3" s="1"/>
  <c r="D56" i="7"/>
  <c r="H40" i="3" s="1"/>
  <c r="F40" i="3"/>
  <c r="AB40" i="3" s="1"/>
  <c r="E56" i="7"/>
  <c r="AE40" i="3" s="1"/>
  <c r="E63" i="7"/>
  <c r="AE17" i="2"/>
  <c r="AE16" i="2"/>
  <c r="E52" i="7"/>
  <c r="D52" i="7"/>
  <c r="F6" i="3"/>
  <c r="AB6" i="3" s="1"/>
  <c r="M66" i="7"/>
  <c r="B66" i="7" s="1"/>
  <c r="F7" i="3" s="1"/>
  <c r="AB7" i="3" s="1"/>
  <c r="AE4" i="2"/>
  <c r="I20" i="4"/>
  <c r="AC27" i="2"/>
  <c r="AD27" i="2" s="1"/>
  <c r="AC12" i="2"/>
  <c r="AD12" i="2" s="1"/>
  <c r="AC6" i="2"/>
  <c r="AD6" i="2" s="1"/>
  <c r="AC2" i="2"/>
  <c r="AD2" i="2" s="1"/>
  <c r="D26" i="8"/>
  <c r="E26" i="8"/>
  <c r="C26" i="8"/>
  <c r="F8" i="2"/>
  <c r="F13" i="2"/>
  <c r="F19" i="2"/>
  <c r="F21" i="2"/>
  <c r="AB2" i="2" s="1"/>
  <c r="D27" i="8"/>
  <c r="E27" i="8"/>
  <c r="C27" i="8"/>
  <c r="K9" i="7"/>
  <c r="L9" i="7"/>
  <c r="M9" i="7" s="1"/>
  <c r="B9" i="7" s="1"/>
  <c r="K57" i="7"/>
  <c r="L57" i="7"/>
  <c r="K54" i="7"/>
  <c r="L54" i="7"/>
  <c r="M54" i="7" s="1"/>
  <c r="B54" i="7" s="1"/>
  <c r="D63" i="7" l="1"/>
  <c r="F42" i="3"/>
  <c r="AB42" i="3" s="1"/>
  <c r="H40" i="2"/>
  <c r="H10" i="2"/>
  <c r="H25" i="2"/>
  <c r="H36" i="2"/>
  <c r="H32" i="2"/>
  <c r="H16" i="2"/>
  <c r="H30" i="2"/>
  <c r="G32" i="2"/>
  <c r="G16" i="2"/>
  <c r="G30" i="2"/>
  <c r="G10" i="2"/>
  <c r="G25" i="2"/>
  <c r="G36" i="2"/>
  <c r="D65" i="7"/>
  <c r="H44" i="3" s="1"/>
  <c r="F44" i="3"/>
  <c r="AB44" i="3" s="1"/>
  <c r="D10" i="1" s="1"/>
  <c r="E16" i="7"/>
  <c r="H42" i="3"/>
  <c r="F43" i="3"/>
  <c r="AB43" i="3" s="1"/>
  <c r="AE42" i="3"/>
  <c r="M57" i="7"/>
  <c r="B57" i="7" s="1"/>
  <c r="E57" i="7" s="1"/>
  <c r="E66" i="7"/>
  <c r="D66" i="7"/>
  <c r="AE2" i="2"/>
  <c r="D9" i="7"/>
  <c r="E9" i="7"/>
  <c r="H19" i="2"/>
  <c r="H13" i="2"/>
  <c r="H8" i="2"/>
  <c r="D54" i="7"/>
  <c r="E54" i="7"/>
  <c r="D57" i="7" l="1"/>
  <c r="AE44" i="3"/>
  <c r="D30" i="1" s="1"/>
  <c r="AE43" i="3"/>
  <c r="D12" i="1"/>
  <c r="D11" i="1"/>
  <c r="D13" i="1"/>
  <c r="K64" i="7"/>
  <c r="L64" i="7"/>
  <c r="F20" i="3"/>
  <c r="N1" i="2"/>
  <c r="E6" i="1" s="1"/>
  <c r="R1" i="2"/>
  <c r="N1" i="3"/>
  <c r="R1" i="3"/>
  <c r="G34" i="3"/>
  <c r="I34" i="3"/>
  <c r="K17" i="7"/>
  <c r="L17" i="7"/>
  <c r="G10" i="3"/>
  <c r="I10" i="3"/>
  <c r="K61" i="7"/>
  <c r="L61" i="7"/>
  <c r="E7" i="1"/>
  <c r="K49" i="7"/>
  <c r="L49" i="7"/>
  <c r="K35" i="7"/>
  <c r="L35" i="7"/>
  <c r="K31" i="7"/>
  <c r="L31" i="7"/>
  <c r="K24" i="7"/>
  <c r="L24" i="7"/>
  <c r="K36" i="7"/>
  <c r="L36" i="7"/>
  <c r="M36" i="7" s="1"/>
  <c r="B36" i="7" s="1"/>
  <c r="F36" i="3" s="1"/>
  <c r="AB36" i="3" s="1"/>
  <c r="K39" i="7"/>
  <c r="L39" i="7"/>
  <c r="K25" i="7"/>
  <c r="L25" i="7"/>
  <c r="M25" i="7" s="1"/>
  <c r="B25" i="7" s="1"/>
  <c r="K50" i="7"/>
  <c r="L50" i="7"/>
  <c r="K37" i="7"/>
  <c r="L37" i="7"/>
  <c r="K30" i="7"/>
  <c r="L30" i="7"/>
  <c r="L7" i="7"/>
  <c r="K7" i="7"/>
  <c r="L67" i="7"/>
  <c r="K67" i="7"/>
  <c r="L60" i="7"/>
  <c r="K60" i="7"/>
  <c r="L59" i="7"/>
  <c r="K59" i="7"/>
  <c r="L58" i="7"/>
  <c r="K58" i="7"/>
  <c r="L55" i="7"/>
  <c r="K55" i="7"/>
  <c r="L53" i="7"/>
  <c r="K53" i="7"/>
  <c r="L51" i="7"/>
  <c r="K51" i="7"/>
  <c r="L48" i="7"/>
  <c r="K48" i="7"/>
  <c r="L47" i="7"/>
  <c r="K47" i="7"/>
  <c r="L46" i="7"/>
  <c r="K46" i="7"/>
  <c r="L45" i="7"/>
  <c r="K45" i="7"/>
  <c r="L43" i="7"/>
  <c r="K43" i="7"/>
  <c r="L41" i="7"/>
  <c r="K41" i="7"/>
  <c r="L40" i="7"/>
  <c r="K40" i="7"/>
  <c r="L38" i="7"/>
  <c r="K38" i="7"/>
  <c r="L34" i="7"/>
  <c r="K34" i="7"/>
  <c r="L33" i="7"/>
  <c r="K33" i="7"/>
  <c r="L32" i="7"/>
  <c r="K32" i="7"/>
  <c r="L29" i="7"/>
  <c r="K29" i="7"/>
  <c r="L28" i="7"/>
  <c r="K28" i="7"/>
  <c r="L27" i="7"/>
  <c r="K27" i="7"/>
  <c r="L26" i="7"/>
  <c r="K26" i="7"/>
  <c r="L23" i="7"/>
  <c r="K23" i="7"/>
  <c r="L22" i="7"/>
  <c r="K22" i="7"/>
  <c r="L21" i="7"/>
  <c r="K21" i="7"/>
  <c r="L20" i="7"/>
  <c r="K20" i="7"/>
  <c r="L19" i="7"/>
  <c r="K19" i="7"/>
  <c r="L18" i="7"/>
  <c r="K18" i="7"/>
  <c r="L15" i="7"/>
  <c r="K15" i="7"/>
  <c r="L14" i="7"/>
  <c r="K14" i="7"/>
  <c r="L13" i="7"/>
  <c r="K13" i="7"/>
  <c r="L12" i="7"/>
  <c r="K12" i="7"/>
  <c r="L11" i="7"/>
  <c r="K11" i="7"/>
  <c r="L10" i="7"/>
  <c r="K10" i="7"/>
  <c r="L8" i="7"/>
  <c r="K8" i="7"/>
  <c r="L6" i="7"/>
  <c r="K6" i="7"/>
  <c r="L5" i="7"/>
  <c r="K5" i="7"/>
  <c r="L4" i="7"/>
  <c r="K4" i="7"/>
  <c r="L3" i="7"/>
  <c r="K3" i="7"/>
  <c r="K2" i="7"/>
  <c r="M50" i="7" l="1"/>
  <c r="B50" i="7" s="1"/>
  <c r="M39" i="7"/>
  <c r="B39" i="7" s="1"/>
  <c r="M31" i="7"/>
  <c r="B31" i="7" s="1"/>
  <c r="E4" i="1"/>
  <c r="E5" i="1"/>
  <c r="M49" i="7"/>
  <c r="B49" i="7" s="1"/>
  <c r="D49" i="7" s="1"/>
  <c r="E29" i="1"/>
  <c r="M30" i="7"/>
  <c r="B30" i="7" s="1"/>
  <c r="D30" i="7" s="1"/>
  <c r="M17" i="7"/>
  <c r="B17" i="7" s="1"/>
  <c r="F34" i="3" s="1"/>
  <c r="M24" i="7"/>
  <c r="B24" i="7" s="1"/>
  <c r="D24" i="7" s="1"/>
  <c r="M61" i="7"/>
  <c r="B61" i="7" s="1"/>
  <c r="F10" i="3" s="1"/>
  <c r="M37" i="7"/>
  <c r="B37" i="7" s="1"/>
  <c r="E37" i="7" s="1"/>
  <c r="M35" i="7"/>
  <c r="B35" i="7" s="1"/>
  <c r="D35" i="7" s="1"/>
  <c r="M64" i="7"/>
  <c r="B64" i="7" s="1"/>
  <c r="D39" i="7"/>
  <c r="E39" i="7"/>
  <c r="E50" i="7"/>
  <c r="D50" i="7"/>
  <c r="D36" i="7"/>
  <c r="H36" i="3" s="1"/>
  <c r="E36" i="7"/>
  <c r="AE36" i="3" s="1"/>
  <c r="D31" i="7"/>
  <c r="E31" i="7"/>
  <c r="D25" i="7"/>
  <c r="E25" i="7"/>
  <c r="M51" i="7"/>
  <c r="M7" i="7"/>
  <c r="B7" i="7" s="1"/>
  <c r="M29" i="7"/>
  <c r="M45" i="7"/>
  <c r="M60" i="7"/>
  <c r="M40" i="7"/>
  <c r="M12" i="7"/>
  <c r="M41" i="7"/>
  <c r="M47" i="7"/>
  <c r="M6" i="7"/>
  <c r="M18" i="7"/>
  <c r="M22" i="7"/>
  <c r="M34" i="7"/>
  <c r="M20" i="7"/>
  <c r="M4" i="7"/>
  <c r="M10" i="7"/>
  <c r="M14" i="7"/>
  <c r="M26" i="7"/>
  <c r="M28" i="7"/>
  <c r="M46" i="7"/>
  <c r="M53" i="7"/>
  <c r="M58" i="7"/>
  <c r="M33" i="7"/>
  <c r="M5" i="7"/>
  <c r="M23" i="7"/>
  <c r="B23" i="7" s="1"/>
  <c r="E23" i="7" s="1"/>
  <c r="M11" i="7"/>
  <c r="M19" i="7"/>
  <c r="M3" i="7"/>
  <c r="M13" i="7"/>
  <c r="M21" i="7"/>
  <c r="M27" i="7"/>
  <c r="M32" i="7"/>
  <c r="M38" i="7"/>
  <c r="M43" i="7"/>
  <c r="M48" i="7"/>
  <c r="M59" i="7"/>
  <c r="M67" i="7"/>
  <c r="M8" i="7"/>
  <c r="M15" i="7"/>
  <c r="M55" i="7"/>
  <c r="D64" i="7" l="1"/>
  <c r="E64" i="7"/>
  <c r="F19" i="3"/>
  <c r="D61" i="7"/>
  <c r="E49" i="7"/>
  <c r="D37" i="7"/>
  <c r="E61" i="7"/>
  <c r="E35" i="7"/>
  <c r="E30" i="7"/>
  <c r="E17" i="7"/>
  <c r="D17" i="7"/>
  <c r="H34" i="3" s="1"/>
  <c r="E24" i="7"/>
  <c r="D23" i="7"/>
  <c r="D76" i="8" l="1"/>
  <c r="E76" i="8"/>
  <c r="C76" i="8"/>
  <c r="D58" i="8"/>
  <c r="E58" i="8"/>
  <c r="C58" i="8"/>
  <c r="D36" i="8"/>
  <c r="E36" i="8"/>
  <c r="C36" i="8"/>
  <c r="E63" i="8"/>
  <c r="D63" i="8"/>
  <c r="C63" i="8"/>
  <c r="C13" i="8"/>
  <c r="AC24" i="2"/>
  <c r="AD24" i="2" s="1"/>
  <c r="AC41" i="2"/>
  <c r="AD41" i="2" s="1"/>
  <c r="AC13" i="2"/>
  <c r="AD13" i="2" s="1"/>
  <c r="AC44" i="2"/>
  <c r="AD44" i="2" s="1"/>
  <c r="AC11" i="2"/>
  <c r="AD11" i="2" s="1"/>
  <c r="AC14" i="2"/>
  <c r="AD14" i="2" s="1"/>
  <c r="AC40" i="2"/>
  <c r="AD40" i="2" s="1"/>
  <c r="AC26" i="2"/>
  <c r="AD26" i="2" s="1"/>
  <c r="AC37" i="2"/>
  <c r="AD37" i="2" s="1"/>
  <c r="AC8" i="2"/>
  <c r="AD8" i="2" s="1"/>
  <c r="AC35" i="2"/>
  <c r="AD35" i="2" s="1"/>
  <c r="AC15" i="2"/>
  <c r="AD15" i="2" s="1"/>
  <c r="AC31" i="2"/>
  <c r="AD31" i="2" s="1"/>
  <c r="AC34" i="2"/>
  <c r="AD34" i="2" s="1"/>
  <c r="AC39" i="2"/>
  <c r="AD39" i="2" s="1"/>
  <c r="AC19" i="2"/>
  <c r="AD19" i="2" s="1"/>
  <c r="AC9" i="2"/>
  <c r="AD9" i="2" s="1"/>
  <c r="AC38" i="2"/>
  <c r="AD38" i="2" s="1"/>
  <c r="AC42" i="2"/>
  <c r="AD42" i="2" s="1"/>
  <c r="AC43" i="2"/>
  <c r="AD43" i="2" s="1"/>
  <c r="AC28" i="2"/>
  <c r="AD28" i="2" s="1"/>
  <c r="AC33" i="2"/>
  <c r="AD33" i="2" s="1"/>
  <c r="AC21" i="2"/>
  <c r="AD21" i="2" s="1"/>
  <c r="AC29" i="2"/>
  <c r="AD29" i="2" s="1"/>
  <c r="AC5" i="2"/>
  <c r="AD5" i="2" s="1"/>
  <c r="I3" i="2"/>
  <c r="I5" i="2"/>
  <c r="I6" i="2"/>
  <c r="I9" i="2"/>
  <c r="I11" i="2"/>
  <c r="I12" i="2"/>
  <c r="I14" i="2"/>
  <c r="I23" i="2"/>
  <c r="I24" i="2"/>
  <c r="I26" i="2"/>
  <c r="I27" i="2"/>
  <c r="I28" i="2"/>
  <c r="I29" i="2"/>
  <c r="I31" i="2"/>
  <c r="I33" i="2"/>
  <c r="I34" i="2"/>
  <c r="I37" i="2"/>
  <c r="I38" i="2"/>
  <c r="I39" i="2"/>
  <c r="I41" i="2"/>
  <c r="I42" i="2"/>
  <c r="I43" i="2"/>
  <c r="I44" i="2"/>
  <c r="F3" i="2"/>
  <c r="F5" i="2"/>
  <c r="F6" i="2"/>
  <c r="F7" i="2"/>
  <c r="AB7" i="2" s="1"/>
  <c r="AE7" i="2" s="1"/>
  <c r="F9" i="2"/>
  <c r="F11" i="2"/>
  <c r="F12" i="2"/>
  <c r="F14" i="2"/>
  <c r="F15" i="2"/>
  <c r="AB8" i="2"/>
  <c r="F23" i="2"/>
  <c r="F24" i="2"/>
  <c r="F26" i="2"/>
  <c r="F27" i="2"/>
  <c r="F28" i="2"/>
  <c r="F29" i="2"/>
  <c r="AB19" i="2" s="1"/>
  <c r="F31" i="2"/>
  <c r="F33" i="2"/>
  <c r="F34" i="2"/>
  <c r="F37" i="2"/>
  <c r="F38" i="2"/>
  <c r="F39" i="2"/>
  <c r="F41" i="2"/>
  <c r="AB21" i="2" s="1"/>
  <c r="F42" i="2"/>
  <c r="F43" i="2"/>
  <c r="F44" i="2"/>
  <c r="AC13" i="3"/>
  <c r="AD13" i="3" s="1"/>
  <c r="AC34" i="3"/>
  <c r="AD34" i="3" s="1"/>
  <c r="AC30" i="3"/>
  <c r="AD30" i="3" s="1"/>
  <c r="AC31" i="3"/>
  <c r="AD31" i="3" s="1"/>
  <c r="AC26" i="3"/>
  <c r="AD26" i="3" s="1"/>
  <c r="AC35" i="3"/>
  <c r="AD35" i="3" s="1"/>
  <c r="AC12" i="3"/>
  <c r="AD12" i="3" s="1"/>
  <c r="AC20" i="3"/>
  <c r="AD20" i="3" s="1"/>
  <c r="AC14" i="3"/>
  <c r="AD14" i="3" s="1"/>
  <c r="AC17" i="3"/>
  <c r="AD17" i="3" s="1"/>
  <c r="AC15" i="3"/>
  <c r="AD15" i="3" s="1"/>
  <c r="AC9" i="3"/>
  <c r="AD9" i="3" s="1"/>
  <c r="AC2" i="3"/>
  <c r="AD2" i="3" s="1"/>
  <c r="AC21" i="3"/>
  <c r="AD21" i="3" s="1"/>
  <c r="AC11" i="3"/>
  <c r="AD11" i="3" s="1"/>
  <c r="AC33" i="3"/>
  <c r="AD33" i="3" s="1"/>
  <c r="AC10" i="3"/>
  <c r="AD10" i="3" s="1"/>
  <c r="AC5" i="3"/>
  <c r="AD5" i="3" s="1"/>
  <c r="AC19" i="3"/>
  <c r="AD19" i="3" s="1"/>
  <c r="AC32" i="3"/>
  <c r="AD32" i="3" s="1"/>
  <c r="AC18" i="3"/>
  <c r="AD18" i="3" s="1"/>
  <c r="AC3" i="3"/>
  <c r="AD3" i="3" s="1"/>
  <c r="AC4" i="3"/>
  <c r="AD4" i="3" s="1"/>
  <c r="AC28" i="3"/>
  <c r="AD28" i="3" s="1"/>
  <c r="AC25" i="3"/>
  <c r="AD25" i="3" s="1"/>
  <c r="AC22" i="3"/>
  <c r="AD22" i="3" s="1"/>
  <c r="I2" i="3"/>
  <c r="I3" i="3"/>
  <c r="I4" i="3"/>
  <c r="I5" i="3"/>
  <c r="I9" i="3"/>
  <c r="I12" i="3"/>
  <c r="I13" i="3"/>
  <c r="I14" i="3"/>
  <c r="I16" i="3"/>
  <c r="I17" i="3"/>
  <c r="I18" i="3"/>
  <c r="I19" i="3"/>
  <c r="I20" i="3"/>
  <c r="I21" i="3"/>
  <c r="I22" i="3"/>
  <c r="I25" i="3"/>
  <c r="I26" i="3"/>
  <c r="I28" i="3"/>
  <c r="I29" i="3"/>
  <c r="I30" i="3"/>
  <c r="I31" i="3"/>
  <c r="I32" i="3"/>
  <c r="I33" i="3"/>
  <c r="I11" i="3"/>
  <c r="I35" i="3"/>
  <c r="F9" i="3"/>
  <c r="F12" i="3"/>
  <c r="AB12" i="3" s="1"/>
  <c r="F16" i="3"/>
  <c r="F18" i="3"/>
  <c r="F21" i="3"/>
  <c r="F22" i="3"/>
  <c r="F25" i="3"/>
  <c r="F26" i="3"/>
  <c r="AB19" i="3" s="1"/>
  <c r="F28" i="3"/>
  <c r="F32" i="3"/>
  <c r="F33" i="3"/>
  <c r="F11" i="3"/>
  <c r="G2" i="3"/>
  <c r="G3" i="3"/>
  <c r="G4" i="3"/>
  <c r="G5" i="3"/>
  <c r="G9" i="3"/>
  <c r="G12" i="3"/>
  <c r="G13" i="3"/>
  <c r="G14" i="3"/>
  <c r="G16" i="3"/>
  <c r="G17" i="3"/>
  <c r="G18" i="3"/>
  <c r="G19" i="3"/>
  <c r="G20" i="3"/>
  <c r="G21" i="3"/>
  <c r="G22" i="3"/>
  <c r="G23" i="3"/>
  <c r="G25" i="3"/>
  <c r="G26" i="3"/>
  <c r="G28" i="3"/>
  <c r="G29" i="3"/>
  <c r="G30" i="3"/>
  <c r="G31" i="3"/>
  <c r="G32" i="3"/>
  <c r="G33" i="3"/>
  <c r="G11" i="3"/>
  <c r="G35" i="3"/>
  <c r="C11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R14" i="9"/>
  <c r="R13" i="9"/>
  <c r="R12" i="9"/>
  <c r="R11" i="9"/>
  <c r="R10" i="9"/>
  <c r="R9" i="9"/>
  <c r="R8" i="9"/>
  <c r="R7" i="9"/>
  <c r="R6" i="9"/>
  <c r="R5" i="9"/>
  <c r="C16" i="9" s="1"/>
  <c r="N5" i="9"/>
  <c r="N16" i="9"/>
  <c r="N15" i="9"/>
  <c r="N14" i="9"/>
  <c r="N13" i="9"/>
  <c r="N12" i="9"/>
  <c r="N11" i="9"/>
  <c r="N10" i="9"/>
  <c r="N9" i="9"/>
  <c r="N8" i="9"/>
  <c r="N7" i="9"/>
  <c r="N6" i="9"/>
  <c r="C12" i="9"/>
  <c r="C14" i="9"/>
  <c r="C13" i="9"/>
  <c r="G4" i="9"/>
  <c r="C9" i="9" s="1"/>
  <c r="G3" i="9"/>
  <c r="C8" i="9" s="1"/>
  <c r="F5" i="9"/>
  <c r="E5" i="9"/>
  <c r="D5" i="9"/>
  <c r="C5" i="9"/>
  <c r="AB5" i="2" l="1"/>
  <c r="AE5" i="2" s="1"/>
  <c r="H55" i="2"/>
  <c r="H62" i="2"/>
  <c r="G62" i="2"/>
  <c r="G55" i="2"/>
  <c r="AB42" i="2"/>
  <c r="AE42" i="2" s="1"/>
  <c r="AB11" i="2"/>
  <c r="AE11" i="2" s="1"/>
  <c r="AB33" i="2"/>
  <c r="AE33" i="2" s="1"/>
  <c r="AB28" i="3"/>
  <c r="AB33" i="3"/>
  <c r="AB9" i="3"/>
  <c r="AB37" i="2"/>
  <c r="AE37" i="2" s="1"/>
  <c r="AB9" i="2"/>
  <c r="AE9" i="2" s="1"/>
  <c r="AB28" i="2"/>
  <c r="AE28" i="2" s="1"/>
  <c r="AB43" i="2"/>
  <c r="AE43" i="2" s="1"/>
  <c r="AB26" i="2"/>
  <c r="AE26" i="2" s="1"/>
  <c r="AB35" i="2"/>
  <c r="AE35" i="2" s="1"/>
  <c r="AB23" i="2"/>
  <c r="AE23" i="2" s="1"/>
  <c r="AB34" i="2"/>
  <c r="AE34" i="2" s="1"/>
  <c r="AB27" i="2"/>
  <c r="AE27" i="2" s="1"/>
  <c r="AB41" i="2"/>
  <c r="AE41" i="2" s="1"/>
  <c r="AB39" i="2"/>
  <c r="AB29" i="2"/>
  <c r="AE29" i="2" s="1"/>
  <c r="AB31" i="2"/>
  <c r="AE31" i="2" s="1"/>
  <c r="AB40" i="2"/>
  <c r="AE40" i="2" s="1"/>
  <c r="AB12" i="2"/>
  <c r="AE12" i="2" s="1"/>
  <c r="AB24" i="2"/>
  <c r="AE24" i="2" s="1"/>
  <c r="AB3" i="2"/>
  <c r="AE3" i="2" s="1"/>
  <c r="AB44" i="2"/>
  <c r="AE44" i="2" s="1"/>
  <c r="AB13" i="2"/>
  <c r="AE13" i="2" s="1"/>
  <c r="AB6" i="2"/>
  <c r="AE6" i="2" s="1"/>
  <c r="AB38" i="2"/>
  <c r="AE38" i="2" s="1"/>
  <c r="AB15" i="2"/>
  <c r="AE15" i="2" s="1"/>
  <c r="AB14" i="2"/>
  <c r="AE14" i="2" s="1"/>
  <c r="AB25" i="3"/>
  <c r="AB11" i="3"/>
  <c r="AB21" i="3"/>
  <c r="AB32" i="3"/>
  <c r="AE32" i="3"/>
  <c r="C15" i="9"/>
  <c r="E14" i="1"/>
  <c r="E20" i="1" s="1"/>
  <c r="E15" i="1"/>
  <c r="E21" i="1" s="1"/>
  <c r="E7" i="7"/>
  <c r="AE7" i="3" s="1"/>
  <c r="D7" i="7"/>
  <c r="F2" i="3"/>
  <c r="AE19" i="2"/>
  <c r="AE8" i="2"/>
  <c r="AE21" i="2"/>
  <c r="G5" i="9"/>
  <c r="C10" i="9" s="1"/>
  <c r="AE39" i="2" l="1"/>
  <c r="D29" i="1" s="1"/>
  <c r="D32" i="1" s="1"/>
  <c r="D4" i="1"/>
  <c r="D18" i="1" s="1"/>
  <c r="D6" i="1"/>
  <c r="D20" i="1" s="1"/>
  <c r="I6" i="1"/>
  <c r="I4" i="1"/>
  <c r="H10" i="3"/>
  <c r="H7" i="3"/>
  <c r="I29" i="1"/>
  <c r="AB2" i="3"/>
  <c r="C17" i="9"/>
  <c r="C18" i="9"/>
  <c r="E52" i="8" l="1"/>
  <c r="D52" i="8"/>
  <c r="C52" i="8"/>
  <c r="E33" i="8"/>
  <c r="D33" i="8"/>
  <c r="H22" i="2" s="1"/>
  <c r="C33" i="8"/>
  <c r="G22" i="2" s="1"/>
  <c r="E22" i="8"/>
  <c r="D22" i="8"/>
  <c r="C22" i="8"/>
  <c r="G18" i="2" s="1"/>
  <c r="E68" i="8"/>
  <c r="D68" i="8"/>
  <c r="H17" i="2" s="1"/>
  <c r="C68" i="8"/>
  <c r="G17" i="2" s="1"/>
  <c r="H21" i="2" l="1"/>
  <c r="H18" i="2"/>
  <c r="E54" i="8"/>
  <c r="D54" i="8"/>
  <c r="C54" i="8"/>
  <c r="B53" i="7" l="1"/>
  <c r="B67" i="7"/>
  <c r="B60" i="7"/>
  <c r="B59" i="7"/>
  <c r="B58" i="7"/>
  <c r="B55" i="7"/>
  <c r="B51" i="7"/>
  <c r="F15" i="3" s="1"/>
  <c r="B48" i="7"/>
  <c r="B47" i="7"/>
  <c r="B46" i="7"/>
  <c r="B45" i="7"/>
  <c r="B43" i="7"/>
  <c r="B41" i="7"/>
  <c r="B40" i="7"/>
  <c r="B38" i="7"/>
  <c r="B34" i="7"/>
  <c r="B33" i="7"/>
  <c r="B32" i="7"/>
  <c r="B29" i="7"/>
  <c r="B28" i="7"/>
  <c r="B27" i="7"/>
  <c r="B26" i="7"/>
  <c r="B22" i="7"/>
  <c r="B21" i="7"/>
  <c r="B20" i="7"/>
  <c r="B19" i="7"/>
  <c r="B18" i="7"/>
  <c r="B15" i="7"/>
  <c r="F35" i="3" s="1"/>
  <c r="B14" i="7"/>
  <c r="B13" i="7"/>
  <c r="B12" i="7"/>
  <c r="B11" i="7"/>
  <c r="B10" i="7"/>
  <c r="B8" i="7"/>
  <c r="B6" i="7"/>
  <c r="B5" i="7"/>
  <c r="B4" i="7"/>
  <c r="B3" i="7"/>
  <c r="E6" i="4"/>
  <c r="E5" i="4"/>
  <c r="E4" i="4"/>
  <c r="E3" i="4"/>
  <c r="E2" i="4"/>
  <c r="AB22" i="3" l="1"/>
  <c r="AB35" i="3"/>
  <c r="F13" i="3"/>
  <c r="F14" i="3"/>
  <c r="AB14" i="3" s="1"/>
  <c r="F17" i="3"/>
  <c r="E8" i="7"/>
  <c r="D8" i="7"/>
  <c r="E41" i="7"/>
  <c r="D41" i="7"/>
  <c r="E55" i="7"/>
  <c r="AE19" i="3" s="1"/>
  <c r="D55" i="7"/>
  <c r="H26" i="3" s="1"/>
  <c r="D11" i="7"/>
  <c r="E11" i="7"/>
  <c r="D19" i="7"/>
  <c r="E19" i="7"/>
  <c r="E32" i="7"/>
  <c r="D32" i="7"/>
  <c r="E43" i="7"/>
  <c r="D43" i="7"/>
  <c r="D58" i="7"/>
  <c r="E58" i="7"/>
  <c r="D28" i="7"/>
  <c r="E28" i="7"/>
  <c r="D10" i="7"/>
  <c r="E10" i="7"/>
  <c r="E20" i="7"/>
  <c r="D20" i="7"/>
  <c r="H29" i="3" s="1"/>
  <c r="E3" i="7"/>
  <c r="D3" i="7"/>
  <c r="E21" i="7"/>
  <c r="D21" i="7"/>
  <c r="D33" i="7"/>
  <c r="E33" i="7"/>
  <c r="E46" i="7"/>
  <c r="D46" i="7"/>
  <c r="E59" i="7"/>
  <c r="D59" i="7"/>
  <c r="E15" i="7"/>
  <c r="AE22" i="3" s="1"/>
  <c r="D15" i="7"/>
  <c r="E29" i="7"/>
  <c r="AE9" i="3" s="1"/>
  <c r="D29" i="7"/>
  <c r="E13" i="7"/>
  <c r="D13" i="7"/>
  <c r="E4" i="7"/>
  <c r="D4" i="7"/>
  <c r="E14" i="7"/>
  <c r="D14" i="7"/>
  <c r="E22" i="7"/>
  <c r="D22" i="7"/>
  <c r="E34" i="7"/>
  <c r="D34" i="7"/>
  <c r="E47" i="7"/>
  <c r="D47" i="7"/>
  <c r="D60" i="7"/>
  <c r="H19" i="3" s="1"/>
  <c r="E60" i="7"/>
  <c r="D18" i="7"/>
  <c r="E18" i="7"/>
  <c r="E45" i="7"/>
  <c r="D45" i="7"/>
  <c r="F29" i="3"/>
  <c r="E26" i="7"/>
  <c r="D26" i="7"/>
  <c r="E38" i="7"/>
  <c r="D38" i="7"/>
  <c r="E48" i="7"/>
  <c r="AE23" i="3" s="1"/>
  <c r="D48" i="7"/>
  <c r="D53" i="7"/>
  <c r="E53" i="7"/>
  <c r="AE21" i="3" s="1"/>
  <c r="E12" i="7"/>
  <c r="D12" i="7"/>
  <c r="E5" i="7"/>
  <c r="D5" i="7"/>
  <c r="E6" i="7"/>
  <c r="AE13" i="3" s="1"/>
  <c r="D6" i="7"/>
  <c r="E27" i="7"/>
  <c r="D27" i="7"/>
  <c r="D40" i="7"/>
  <c r="E40" i="7"/>
  <c r="D51" i="7"/>
  <c r="E51" i="7"/>
  <c r="AE6" i="3" s="1"/>
  <c r="E67" i="7"/>
  <c r="AE37" i="3" s="1"/>
  <c r="D67" i="7"/>
  <c r="H37" i="3" s="1"/>
  <c r="F23" i="3"/>
  <c r="AE3" i="3" l="1"/>
  <c r="AE30" i="3"/>
  <c r="AE4" i="3"/>
  <c r="AE18" i="3"/>
  <c r="E30" i="1" s="1"/>
  <c r="E32" i="1" s="1"/>
  <c r="AE29" i="3"/>
  <c r="H15" i="3"/>
  <c r="H6" i="3"/>
  <c r="AE2" i="3"/>
  <c r="AB10" i="3"/>
  <c r="AB23" i="3"/>
  <c r="AB18" i="3"/>
  <c r="AB29" i="3"/>
  <c r="AB26" i="3"/>
  <c r="AB15" i="3"/>
  <c r="AB17" i="3"/>
  <c r="AB20" i="3"/>
  <c r="AB13" i="3"/>
  <c r="AE31" i="3"/>
  <c r="AE25" i="3"/>
  <c r="AE33" i="3"/>
  <c r="AE12" i="3"/>
  <c r="AE17" i="3"/>
  <c r="AE10" i="3"/>
  <c r="AE11" i="3"/>
  <c r="AE26" i="3"/>
  <c r="AE5" i="3"/>
  <c r="AE35" i="3"/>
  <c r="AE15" i="3"/>
  <c r="AE34" i="3"/>
  <c r="AE14" i="3"/>
  <c r="AE28" i="3"/>
  <c r="AE20" i="3"/>
  <c r="H20" i="3"/>
  <c r="H21" i="3"/>
  <c r="H23" i="3"/>
  <c r="H16" i="3"/>
  <c r="E10" i="1" l="1"/>
  <c r="E18" i="1" s="1"/>
  <c r="E12" i="1"/>
  <c r="O1" i="2"/>
  <c r="L1" i="2"/>
  <c r="K1" i="2"/>
  <c r="K1" i="3"/>
  <c r="G25" i="9" l="1"/>
  <c r="C25" i="9"/>
  <c r="J25" i="9"/>
  <c r="F25" i="9"/>
  <c r="H25" i="9"/>
  <c r="I25" i="9"/>
  <c r="E25" i="9"/>
  <c r="D25" i="9"/>
  <c r="E77" i="8"/>
  <c r="E75" i="8"/>
  <c r="E74" i="8"/>
  <c r="E73" i="8"/>
  <c r="E72" i="8"/>
  <c r="E71" i="8"/>
  <c r="E70" i="8"/>
  <c r="E69" i="8"/>
  <c r="E67" i="8"/>
  <c r="E66" i="8"/>
  <c r="E65" i="8"/>
  <c r="E64" i="8"/>
  <c r="E62" i="8"/>
  <c r="E60" i="8"/>
  <c r="E59" i="8"/>
  <c r="E57" i="8"/>
  <c r="E56" i="8"/>
  <c r="E55" i="8"/>
  <c r="E53" i="8"/>
  <c r="E51" i="8"/>
  <c r="E50" i="8"/>
  <c r="E49" i="8"/>
  <c r="E48" i="8"/>
  <c r="E47" i="8"/>
  <c r="E46" i="8"/>
  <c r="E45" i="8"/>
  <c r="E44" i="8"/>
  <c r="E43" i="8"/>
  <c r="E42" i="8"/>
  <c r="E40" i="8"/>
  <c r="E39" i="8"/>
  <c r="E38" i="8"/>
  <c r="E37" i="8"/>
  <c r="E35" i="8"/>
  <c r="E34" i="8"/>
  <c r="E32" i="8"/>
  <c r="E31" i="8"/>
  <c r="E30" i="8"/>
  <c r="E29" i="8"/>
  <c r="E28" i="8"/>
  <c r="E25" i="8"/>
  <c r="E24" i="8"/>
  <c r="E23" i="8"/>
  <c r="E21" i="8"/>
  <c r="E20" i="8"/>
  <c r="E19" i="8"/>
  <c r="E18" i="8"/>
  <c r="E17" i="8"/>
  <c r="E16" i="8"/>
  <c r="E15" i="8"/>
  <c r="E14" i="8"/>
  <c r="E12" i="8"/>
  <c r="E11" i="8"/>
  <c r="E10" i="8"/>
  <c r="E9" i="8"/>
  <c r="E8" i="8"/>
  <c r="E7" i="8"/>
  <c r="E6" i="8"/>
  <c r="E5" i="8"/>
  <c r="E4" i="8"/>
  <c r="E3" i="8"/>
  <c r="E2" i="8"/>
  <c r="D77" i="8"/>
  <c r="D75" i="8"/>
  <c r="H6" i="2" s="1"/>
  <c r="D74" i="8"/>
  <c r="D73" i="8"/>
  <c r="D72" i="8"/>
  <c r="D71" i="8"/>
  <c r="D70" i="8"/>
  <c r="D69" i="8"/>
  <c r="D67" i="8"/>
  <c r="D66" i="8"/>
  <c r="D65" i="8"/>
  <c r="D64" i="8"/>
  <c r="D62" i="8"/>
  <c r="D60" i="8"/>
  <c r="H35" i="2" s="1"/>
  <c r="D59" i="8"/>
  <c r="D57" i="8"/>
  <c r="H24" i="2" s="1"/>
  <c r="D56" i="8"/>
  <c r="H43" i="2" s="1"/>
  <c r="D55" i="8"/>
  <c r="D53" i="8"/>
  <c r="D51" i="8"/>
  <c r="D50" i="8"/>
  <c r="D49" i="8"/>
  <c r="D48" i="8"/>
  <c r="H31" i="2" s="1"/>
  <c r="D47" i="8"/>
  <c r="D46" i="8"/>
  <c r="D45" i="8"/>
  <c r="D44" i="8"/>
  <c r="D43" i="8"/>
  <c r="D42" i="8"/>
  <c r="D40" i="8"/>
  <c r="D39" i="8"/>
  <c r="D38" i="8"/>
  <c r="D37" i="8"/>
  <c r="D35" i="8"/>
  <c r="H20" i="2" s="1"/>
  <c r="D34" i="8"/>
  <c r="D32" i="8"/>
  <c r="D31" i="8"/>
  <c r="D30" i="8"/>
  <c r="D29" i="8"/>
  <c r="D28" i="8"/>
  <c r="D25" i="8"/>
  <c r="D24" i="8"/>
  <c r="D23" i="8"/>
  <c r="D21" i="8"/>
  <c r="D20" i="8"/>
  <c r="D19" i="8"/>
  <c r="D18" i="8"/>
  <c r="D17" i="8"/>
  <c r="D16" i="8"/>
  <c r="D15" i="8"/>
  <c r="H37" i="2" s="1"/>
  <c r="D14" i="8"/>
  <c r="D12" i="8"/>
  <c r="D11" i="8"/>
  <c r="D10" i="8"/>
  <c r="D9" i="8"/>
  <c r="D8" i="8"/>
  <c r="D7" i="8"/>
  <c r="H48" i="2" s="1"/>
  <c r="D6" i="8"/>
  <c r="D5" i="8"/>
  <c r="D4" i="8"/>
  <c r="D3" i="8"/>
  <c r="D2" i="8"/>
  <c r="C50" i="8"/>
  <c r="S2" i="1"/>
  <c r="C27" i="9" s="1"/>
  <c r="C2" i="8"/>
  <c r="C77" i="8"/>
  <c r="C75" i="8"/>
  <c r="G6" i="2" s="1"/>
  <c r="C74" i="8"/>
  <c r="C73" i="8"/>
  <c r="C72" i="8"/>
  <c r="C71" i="8"/>
  <c r="C70" i="8"/>
  <c r="C69" i="8"/>
  <c r="C67" i="8"/>
  <c r="C66" i="8"/>
  <c r="C65" i="8"/>
  <c r="C64" i="8"/>
  <c r="C62" i="8"/>
  <c r="C60" i="8"/>
  <c r="C59" i="8"/>
  <c r="C57" i="8"/>
  <c r="G24" i="2" s="1"/>
  <c r="C56" i="8"/>
  <c r="C55" i="8"/>
  <c r="C53" i="8"/>
  <c r="C51" i="8"/>
  <c r="C49" i="8"/>
  <c r="C48" i="8"/>
  <c r="G31" i="2" s="1"/>
  <c r="C47" i="8"/>
  <c r="C46" i="8"/>
  <c r="C45" i="8"/>
  <c r="C44" i="8"/>
  <c r="C43" i="8"/>
  <c r="C42" i="8"/>
  <c r="C40" i="8"/>
  <c r="C39" i="8"/>
  <c r="C38" i="8"/>
  <c r="C37" i="8"/>
  <c r="C35" i="8"/>
  <c r="G20" i="2" s="1"/>
  <c r="C34" i="8"/>
  <c r="C32" i="8"/>
  <c r="C31" i="8"/>
  <c r="C30" i="8"/>
  <c r="C29" i="8"/>
  <c r="C28" i="8"/>
  <c r="C25" i="8"/>
  <c r="C24" i="8"/>
  <c r="C23" i="8"/>
  <c r="C21" i="8"/>
  <c r="C20" i="8"/>
  <c r="C19" i="8"/>
  <c r="C18" i="8"/>
  <c r="C17" i="8"/>
  <c r="C16" i="8"/>
  <c r="C15" i="8"/>
  <c r="G37" i="2" s="1"/>
  <c r="C14" i="8"/>
  <c r="C12" i="8"/>
  <c r="C11" i="8"/>
  <c r="G28" i="2" s="1"/>
  <c r="C10" i="8"/>
  <c r="C9" i="8"/>
  <c r="C8" i="8"/>
  <c r="C7" i="8"/>
  <c r="G48" i="2" s="1"/>
  <c r="C6" i="8"/>
  <c r="C5" i="8"/>
  <c r="C4" i="8"/>
  <c r="C3" i="8"/>
  <c r="L2" i="7"/>
  <c r="M2" i="7" s="1"/>
  <c r="Q1" i="3"/>
  <c r="Q1" i="2"/>
  <c r="Z1" i="3"/>
  <c r="Y1" i="3"/>
  <c r="X1" i="3"/>
  <c r="W1" i="3"/>
  <c r="V1" i="3"/>
  <c r="U1" i="3"/>
  <c r="T1" i="3"/>
  <c r="S1" i="3"/>
  <c r="P1" i="3"/>
  <c r="O1" i="3"/>
  <c r="L1" i="3"/>
  <c r="Z1" i="2"/>
  <c r="Y1" i="2"/>
  <c r="X1" i="2"/>
  <c r="W1" i="2"/>
  <c r="V1" i="2"/>
  <c r="U1" i="2"/>
  <c r="T1" i="2"/>
  <c r="S1" i="2"/>
  <c r="P1" i="2"/>
  <c r="H44" i="2" l="1"/>
  <c r="H45" i="2"/>
  <c r="H66" i="2"/>
  <c r="G45" i="2"/>
  <c r="G66" i="2"/>
  <c r="G63" i="2"/>
  <c r="G56" i="2"/>
  <c r="H5" i="2"/>
  <c r="H46" i="2"/>
  <c r="H53" i="2"/>
  <c r="H56" i="2"/>
  <c r="H63" i="2"/>
  <c r="G5" i="2"/>
  <c r="G46" i="2"/>
  <c r="G53" i="2"/>
  <c r="C14" i="1"/>
  <c r="C15" i="1"/>
  <c r="C10" i="1"/>
  <c r="C12" i="1"/>
  <c r="K12" i="1"/>
  <c r="K10" i="1"/>
  <c r="K14" i="1"/>
  <c r="N10" i="1"/>
  <c r="N15" i="1"/>
  <c r="N14" i="1"/>
  <c r="N13" i="1"/>
  <c r="N12" i="1"/>
  <c r="N11" i="1"/>
  <c r="O10" i="1"/>
  <c r="O14" i="1"/>
  <c r="O12" i="1"/>
  <c r="Q14" i="1"/>
  <c r="Q12" i="1"/>
  <c r="Q10" i="1"/>
  <c r="H10" i="1"/>
  <c r="H15" i="1"/>
  <c r="H14" i="1"/>
  <c r="H13" i="1"/>
  <c r="H12" i="1"/>
  <c r="H11" i="1"/>
  <c r="H28" i="2"/>
  <c r="H2" i="2"/>
  <c r="H6" i="1"/>
  <c r="G29" i="2"/>
  <c r="G43" i="2"/>
  <c r="H11" i="2"/>
  <c r="H33" i="2"/>
  <c r="G7" i="2"/>
  <c r="G26" i="2"/>
  <c r="G27" i="2"/>
  <c r="G41" i="2"/>
  <c r="G14" i="2"/>
  <c r="G3" i="2"/>
  <c r="G9" i="2"/>
  <c r="H26" i="2"/>
  <c r="H41" i="2"/>
  <c r="H27" i="2"/>
  <c r="H12" i="2"/>
  <c r="H14" i="2"/>
  <c r="H3" i="2"/>
  <c r="H9" i="2"/>
  <c r="G11" i="2"/>
  <c r="G33" i="2"/>
  <c r="G12" i="2"/>
  <c r="G44" i="2"/>
  <c r="H34" i="2"/>
  <c r="H38" i="2"/>
  <c r="H39" i="2"/>
  <c r="H23" i="2"/>
  <c r="H15" i="2"/>
  <c r="H42" i="2"/>
  <c r="G39" i="2"/>
  <c r="G23" i="2"/>
  <c r="G42" i="2"/>
  <c r="G15" i="2"/>
  <c r="G38" i="2"/>
  <c r="G34" i="2"/>
  <c r="H29" i="2"/>
  <c r="D43" i="9"/>
  <c r="C43" i="9"/>
  <c r="D32" i="9"/>
  <c r="C32" i="9"/>
  <c r="C33" i="9"/>
  <c r="D33" i="9"/>
  <c r="C4" i="1"/>
  <c r="B4" i="1"/>
  <c r="F4" i="1"/>
  <c r="N4" i="1"/>
  <c r="O4" i="1"/>
  <c r="H4" i="1"/>
  <c r="B6" i="1"/>
  <c r="C6" i="1"/>
  <c r="L4" i="1"/>
  <c r="M6" i="1"/>
  <c r="R6" i="1"/>
  <c r="S6" i="1" s="1"/>
  <c r="V6" i="1" s="1"/>
  <c r="J4" i="1"/>
  <c r="Q4" i="1"/>
  <c r="K4" i="1"/>
  <c r="G4" i="1"/>
  <c r="P4" i="1"/>
  <c r="M4" i="1"/>
  <c r="J6" i="1"/>
  <c r="N6" i="1"/>
  <c r="P6" i="1"/>
  <c r="L6" i="1"/>
  <c r="F6" i="1"/>
  <c r="K6" i="1"/>
  <c r="O6" i="1"/>
  <c r="Q6" i="1"/>
  <c r="G6" i="1"/>
  <c r="M30" i="1"/>
  <c r="F4" i="3"/>
  <c r="R4" i="1"/>
  <c r="S4" i="1" s="1"/>
  <c r="V4" i="1" s="1"/>
  <c r="C26" i="13" l="1"/>
  <c r="N26" i="13"/>
  <c r="N23" i="13"/>
  <c r="C25" i="13"/>
  <c r="C24" i="13"/>
  <c r="C23" i="13"/>
  <c r="N22" i="13"/>
  <c r="C22" i="13"/>
  <c r="D7" i="1"/>
  <c r="D21" i="1" s="1"/>
  <c r="D5" i="1"/>
  <c r="D19" i="1" s="1"/>
  <c r="D31" i="1"/>
  <c r="O20" i="1"/>
  <c r="C18" i="1"/>
  <c r="O18" i="1"/>
  <c r="N18" i="1"/>
  <c r="K18" i="1"/>
  <c r="K20" i="1"/>
  <c r="Q20" i="1"/>
  <c r="C20" i="1"/>
  <c r="Q18" i="1"/>
  <c r="H20" i="1"/>
  <c r="H18" i="1"/>
  <c r="N20" i="1"/>
  <c r="I5" i="1"/>
  <c r="K7" i="1"/>
  <c r="N31" i="1"/>
  <c r="H31" i="1"/>
  <c r="I7" i="1"/>
  <c r="H5" i="1"/>
  <c r="H19" i="1" s="1"/>
  <c r="H7" i="1"/>
  <c r="H21" i="1" s="1"/>
  <c r="F3" i="3"/>
  <c r="E43" i="9"/>
  <c r="N5" i="1"/>
  <c r="N19" i="1" s="1"/>
  <c r="B5" i="1"/>
  <c r="F5" i="1"/>
  <c r="M5" i="1"/>
  <c r="C5" i="1"/>
  <c r="K5" i="1"/>
  <c r="M7" i="1"/>
  <c r="R7" i="1"/>
  <c r="S7" i="1" s="1"/>
  <c r="V7" i="1" s="1"/>
  <c r="C7" i="1"/>
  <c r="C21" i="1" s="1"/>
  <c r="B7" i="1"/>
  <c r="Q7" i="1"/>
  <c r="L5" i="1"/>
  <c r="Q5" i="1"/>
  <c r="N7" i="1"/>
  <c r="N21" i="1" s="1"/>
  <c r="P5" i="1"/>
  <c r="L7" i="1"/>
  <c r="J7" i="1"/>
  <c r="G5" i="1"/>
  <c r="O7" i="1"/>
  <c r="O5" i="1"/>
  <c r="P7" i="1"/>
  <c r="R5" i="1"/>
  <c r="S5" i="1" s="1"/>
  <c r="V5" i="1" s="1"/>
  <c r="F7" i="1"/>
  <c r="G7" i="1"/>
  <c r="J5" i="1"/>
  <c r="L29" i="1"/>
  <c r="H29" i="1"/>
  <c r="K29" i="1"/>
  <c r="O29" i="1"/>
  <c r="F30" i="3"/>
  <c r="F5" i="3"/>
  <c r="G29" i="1"/>
  <c r="J29" i="1"/>
  <c r="P29" i="1"/>
  <c r="Q29" i="1"/>
  <c r="M29" i="1"/>
  <c r="M32" i="1" s="1"/>
  <c r="C29" i="1"/>
  <c r="F29" i="1"/>
  <c r="B29" i="1"/>
  <c r="N29" i="1"/>
  <c r="H4" i="3"/>
  <c r="H35" i="3"/>
  <c r="H2" i="3"/>
  <c r="AB34" i="3" l="1"/>
  <c r="F31" i="1" s="1"/>
  <c r="M14" i="1"/>
  <c r="M20" i="1" s="1"/>
  <c r="F15" i="1"/>
  <c r="F21" i="1" s="1"/>
  <c r="M11" i="1"/>
  <c r="M19" i="1" s="1"/>
  <c r="M15" i="1"/>
  <c r="M21" i="1" s="1"/>
  <c r="F14" i="1"/>
  <c r="F20" i="1" s="1"/>
  <c r="AB3" i="3"/>
  <c r="AB5" i="3"/>
  <c r="AB30" i="3"/>
  <c r="H9" i="3"/>
  <c r="H25" i="3"/>
  <c r="Q30" i="1"/>
  <c r="Q32" i="1" s="1"/>
  <c r="H28" i="3"/>
  <c r="H18" i="3"/>
  <c r="O30" i="1"/>
  <c r="O32" i="1" s="1"/>
  <c r="H5" i="3"/>
  <c r="H17" i="3"/>
  <c r="H32" i="3"/>
  <c r="H13" i="3"/>
  <c r="C13" i="1" s="1"/>
  <c r="H14" i="3"/>
  <c r="H3" i="3"/>
  <c r="F31" i="3"/>
  <c r="AB4" i="3" s="1"/>
  <c r="H33" i="3"/>
  <c r="C30" i="1"/>
  <c r="C32" i="1" s="1"/>
  <c r="H31" i="3"/>
  <c r="H30" i="3"/>
  <c r="M31" i="1" l="1"/>
  <c r="F13" i="1"/>
  <c r="M12" i="1"/>
  <c r="G10" i="1"/>
  <c r="G18" i="1" s="1"/>
  <c r="M13" i="1"/>
  <c r="M10" i="1"/>
  <c r="M18" i="1" s="1"/>
  <c r="F10" i="1"/>
  <c r="F18" i="1" s="1"/>
  <c r="G12" i="1"/>
  <c r="G14" i="1"/>
  <c r="G20" i="1" s="1"/>
  <c r="F12" i="1"/>
  <c r="F11" i="1"/>
  <c r="F19" i="1" s="1"/>
  <c r="C31" i="1"/>
  <c r="K31" i="1"/>
  <c r="AB31" i="3"/>
  <c r="C11" i="1"/>
  <c r="C19" i="1" s="1"/>
  <c r="E31" i="1"/>
  <c r="K15" i="1"/>
  <c r="K21" i="1" s="1"/>
  <c r="K13" i="1"/>
  <c r="K11" i="1"/>
  <c r="K19" i="1" s="1"/>
  <c r="E13" i="1"/>
  <c r="E11" i="1"/>
  <c r="E19" i="1" s="1"/>
  <c r="H12" i="3"/>
  <c r="H22" i="3"/>
  <c r="H11" i="3"/>
  <c r="B14" i="1"/>
  <c r="B20" i="1" s="1"/>
  <c r="B15" i="1"/>
  <c r="B21" i="1" s="1"/>
  <c r="G30" i="1"/>
  <c r="G32" i="1" s="1"/>
  <c r="B12" i="1"/>
  <c r="K30" i="1"/>
  <c r="K32" i="1" s="1"/>
  <c r="F30" i="1"/>
  <c r="F32" i="1" s="1"/>
  <c r="H30" i="1"/>
  <c r="H32" i="1" s="1"/>
  <c r="N30" i="1"/>
  <c r="N32" i="1" s="1"/>
  <c r="O15" i="1" l="1"/>
  <c r="O21" i="1" s="1"/>
  <c r="Q15" i="1"/>
  <c r="Q21" i="1" s="1"/>
  <c r="G15" i="1"/>
  <c r="G21" i="1" s="1"/>
  <c r="Q31" i="1"/>
  <c r="O31" i="1"/>
  <c r="G31" i="1"/>
  <c r="B13" i="1"/>
  <c r="O13" i="1"/>
  <c r="O11" i="1"/>
  <c r="O19" i="1" s="1"/>
  <c r="Q13" i="1"/>
  <c r="Q11" i="1"/>
  <c r="Q19" i="1" s="1"/>
  <c r="G13" i="1"/>
  <c r="G11" i="1"/>
  <c r="G19" i="1" s="1"/>
  <c r="B2" i="7" l="1"/>
  <c r="E2" i="7" l="1"/>
  <c r="F27" i="3"/>
  <c r="D2" i="7"/>
  <c r="H27" i="3" s="1"/>
  <c r="X10" i="13" l="1"/>
  <c r="V8" i="13"/>
  <c r="W5" i="13"/>
  <c r="V7" i="13"/>
  <c r="T5" i="13"/>
  <c r="T7" i="13"/>
  <c r="Q6" i="13"/>
  <c r="S4" i="13"/>
  <c r="T11" i="13"/>
  <c r="Q10" i="13"/>
  <c r="P12" i="13"/>
  <c r="S12" i="13"/>
  <c r="U12" i="13"/>
  <c r="V9" i="13"/>
  <c r="Q7" i="13"/>
  <c r="O4" i="13"/>
  <c r="O9" i="13"/>
  <c r="Q9" i="13"/>
  <c r="R9" i="13"/>
  <c r="P7" i="13"/>
  <c r="Q8" i="13"/>
  <c r="R6" i="13"/>
  <c r="X8" i="13"/>
  <c r="P9" i="13"/>
  <c r="R5" i="13"/>
  <c r="V10" i="13"/>
  <c r="S9" i="13"/>
  <c r="W10" i="13"/>
  <c r="W7" i="13"/>
  <c r="W11" i="13"/>
  <c r="V12" i="13"/>
  <c r="S6" i="13"/>
  <c r="U10" i="13"/>
  <c r="R8" i="13"/>
  <c r="O7" i="13"/>
  <c r="P4" i="13"/>
  <c r="P5" i="13"/>
  <c r="Q12" i="13"/>
  <c r="Q5" i="13"/>
  <c r="U11" i="13"/>
  <c r="W12" i="13"/>
  <c r="V4" i="13"/>
  <c r="S8" i="13"/>
  <c r="U6" i="13"/>
  <c r="O8" i="13"/>
  <c r="V5" i="13"/>
  <c r="T6" i="13"/>
  <c r="O12" i="13"/>
  <c r="R12" i="13"/>
  <c r="O11" i="13"/>
  <c r="X9" i="13"/>
  <c r="P6" i="13"/>
  <c r="W8" i="13"/>
  <c r="T4" i="13"/>
  <c r="O6" i="13"/>
  <c r="P10" i="13"/>
  <c r="U8" i="13"/>
  <c r="Q11" i="13"/>
  <c r="T12" i="13"/>
  <c r="S10" i="13"/>
  <c r="U5" i="13"/>
  <c r="W4" i="13"/>
  <c r="O5" i="13"/>
  <c r="W6" i="13"/>
  <c r="X12" i="13"/>
  <c r="R4" i="13"/>
  <c r="S11" i="13"/>
  <c r="Q4" i="13"/>
  <c r="V6" i="13"/>
  <c r="R10" i="13"/>
  <c r="R11" i="13"/>
  <c r="O10" i="13"/>
  <c r="X11" i="13"/>
  <c r="S5" i="13"/>
  <c r="U9" i="13"/>
  <c r="W9" i="13"/>
  <c r="R7" i="13"/>
  <c r="T9" i="13"/>
  <c r="X4" i="13"/>
  <c r="U7" i="13"/>
  <c r="X6" i="13"/>
  <c r="T10" i="13"/>
  <c r="T8" i="13"/>
  <c r="X7" i="13"/>
  <c r="U4" i="13"/>
  <c r="P8" i="13"/>
  <c r="X5" i="13"/>
  <c r="V11" i="13"/>
  <c r="P11" i="13"/>
  <c r="S7" i="13"/>
  <c r="D23" i="13"/>
  <c r="E23" i="13" s="1"/>
  <c r="G23" i="13" s="1"/>
  <c r="D24" i="13"/>
  <c r="E24" i="13" s="1"/>
  <c r="G24" i="13" s="1"/>
  <c r="O23" i="13"/>
  <c r="P23" i="13" s="1"/>
  <c r="R23" i="13" s="1"/>
  <c r="D25" i="13"/>
  <c r="E25" i="13" s="1"/>
  <c r="G25" i="13" s="1"/>
  <c r="AB27" i="3"/>
  <c r="AE16" i="3"/>
  <c r="B30" i="1" s="1"/>
  <c r="B32" i="1" s="1"/>
  <c r="AE27" i="3"/>
  <c r="P30" i="1" s="1"/>
  <c r="P32" i="1" s="1"/>
  <c r="P11" i="1"/>
  <c r="P19" i="1" s="1"/>
  <c r="P31" i="1"/>
  <c r="P15" i="1"/>
  <c r="P21" i="1" s="1"/>
  <c r="P13" i="1"/>
  <c r="P14" i="1"/>
  <c r="P20" i="1" s="1"/>
  <c r="P12" i="1"/>
  <c r="P10" i="1"/>
  <c r="P18" i="1" s="1"/>
  <c r="D44" i="9"/>
  <c r="C44" i="9"/>
  <c r="AB16" i="3"/>
  <c r="C26" i="9"/>
  <c r="I26" i="9"/>
  <c r="G26" i="9"/>
  <c r="D26" i="9"/>
  <c r="F26" i="9"/>
  <c r="E26" i="9"/>
  <c r="H26" i="9"/>
  <c r="J26" i="9"/>
  <c r="Q13" i="13" l="1"/>
  <c r="E44" i="9"/>
  <c r="O13" i="13"/>
  <c r="S13" i="13"/>
  <c r="T13" i="13"/>
  <c r="U13" i="13"/>
  <c r="P13" i="13"/>
  <c r="R13" i="13"/>
  <c r="V13" i="13"/>
  <c r="X13" i="13"/>
  <c r="W13" i="13"/>
  <c r="O26" i="13"/>
  <c r="D22" i="13"/>
  <c r="E22" i="13" s="1"/>
  <c r="D26" i="13"/>
  <c r="O22" i="13"/>
  <c r="P22" i="13" s="1"/>
  <c r="B10" i="1"/>
  <c r="B18" i="1" s="1"/>
  <c r="B31" i="1"/>
  <c r="B11" i="1"/>
  <c r="B19" i="1" s="1"/>
  <c r="I30" i="1"/>
  <c r="I32" i="1" s="1"/>
  <c r="J30" i="1"/>
  <c r="J32" i="1" s="1"/>
  <c r="L30" i="1"/>
  <c r="L32" i="1" s="1"/>
  <c r="D30" i="9"/>
  <c r="D34" i="9" s="1"/>
  <c r="C30" i="9"/>
  <c r="C34" i="9" s="1"/>
  <c r="C38" i="9" s="1"/>
  <c r="D31" i="9"/>
  <c r="D35" i="9" s="1"/>
  <c r="C31" i="9"/>
  <c r="C35" i="9" s="1"/>
  <c r="C39" i="9" s="1"/>
  <c r="I14" i="1"/>
  <c r="I20" i="1" s="1"/>
  <c r="I12" i="1"/>
  <c r="I10" i="1"/>
  <c r="I18" i="1" s="1"/>
  <c r="J14" i="1"/>
  <c r="J20" i="1" s="1"/>
  <c r="J12" i="1"/>
  <c r="J10" i="1"/>
  <c r="J18" i="1" s="1"/>
  <c r="L14" i="1"/>
  <c r="L20" i="1" s="1"/>
  <c r="L12" i="1"/>
  <c r="L10" i="1"/>
  <c r="L18" i="1" s="1"/>
  <c r="R10" i="1"/>
  <c r="R12" i="1"/>
  <c r="S12" i="1" s="1"/>
  <c r="V12" i="1" s="1"/>
  <c r="R14" i="1"/>
  <c r="I15" i="1"/>
  <c r="I21" i="1" s="1"/>
  <c r="I13" i="1"/>
  <c r="I11" i="1"/>
  <c r="I19" i="1" s="1"/>
  <c r="J15" i="1"/>
  <c r="J21" i="1" s="1"/>
  <c r="L11" i="1"/>
  <c r="L19" i="1" s="1"/>
  <c r="L15" i="1"/>
  <c r="L21" i="1" s="1"/>
  <c r="L13" i="1"/>
  <c r="I31" i="1"/>
  <c r="L31" i="1"/>
  <c r="J31" i="1"/>
  <c r="J13" i="1"/>
  <c r="J11" i="1"/>
  <c r="J19" i="1" s="1"/>
  <c r="R15" i="1"/>
  <c r="R13" i="1"/>
  <c r="S13" i="1" s="1"/>
  <c r="V13" i="1" s="1"/>
  <c r="R11" i="1"/>
  <c r="G22" i="13" l="1"/>
  <c r="G26" i="13" s="1"/>
  <c r="E26" i="13"/>
  <c r="R22" i="13"/>
  <c r="S11" i="1"/>
  <c r="V11" i="1" s="1"/>
  <c r="R19" i="1"/>
  <c r="S19" i="1" s="1"/>
  <c r="V19" i="1" s="1"/>
  <c r="S15" i="1"/>
  <c r="V15" i="1" s="1"/>
  <c r="R21" i="1"/>
  <c r="S21" i="1" s="1"/>
  <c r="V21" i="1" s="1"/>
  <c r="R20" i="1"/>
  <c r="S20" i="1" s="1"/>
  <c r="V20" i="1" s="1"/>
  <c r="S14" i="1"/>
  <c r="V14" i="1" s="1"/>
  <c r="R18" i="1"/>
  <c r="S18" i="1" s="1"/>
  <c r="V18" i="1" s="1"/>
  <c r="S10" i="1"/>
  <c r="V10" i="1" s="1"/>
  <c r="R24" i="13" l="1"/>
  <c r="R25" i="13" s="1"/>
  <c r="T25" i="13" l="1"/>
  <c r="S25" i="13"/>
  <c r="P25" i="13"/>
  <c r="S24" i="13"/>
  <c r="T24" i="13"/>
  <c r="P24" i="13"/>
  <c r="N24" i="13" l="1"/>
  <c r="O24" i="13"/>
  <c r="P26" i="13"/>
  <c r="O25" i="13"/>
  <c r="N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tc={93CA2012-8A72-4B7E-8762-1F1E078CBCB3}</author>
    <author>Eduardo Ogasawara</author>
    <author>tc={008FBAA3-3F92-4F74-8053-F304D616515D}</author>
    <author>tc={5B5C6FAB-E327-4997-9278-A7CABE938E60}</author>
    <author>tc={6514BDD3-B9B5-44D3-AE20-EF9724EC15B2}</author>
    <author>tc={988713D5-E566-4133-81A5-5F4F7315BEDC}</author>
    <author>tc={9985B1BF-1465-4251-8B17-C133EC0F9603}</author>
    <author>tc={7B12771F-7EEE-49FB-8FFD-25F3EECF634F}</author>
    <author>tc={1BF9A4EE-E7C3-4DDF-87E7-10DF4A3809ED}</author>
    <author>tc={C0F648EC-C5C4-4D8B-80C8-9FDC38BF4262}</author>
    <author>tc={78043B1C-8B5A-49DB-AF7B-1938CCCD2035}</author>
    <author>tc={2C4A536C-16D7-4A12-B8BA-77D999E0A619}</author>
  </authors>
  <commentList>
    <comment ref="I1" authorId="0" shapeId="0" xr:uid="{93CA2012-8A72-4B7E-8762-1F1E078CBC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 xr:uid="{6D204609-37F1-4B8E-B0E5-A15FFC4642DA}">
      <text>
        <r>
          <rPr>
            <b/>
            <sz val="9"/>
            <color rgb="FF000000"/>
            <rFont val="Tahoma"/>
            <family val="2"/>
          </rPr>
          <t>Eduardo Ogasawara: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https://ppgcc.github.io/discentesPPGCC/pt-BR/qualis/</t>
        </r>
      </text>
    </comment>
    <comment ref="A3" authorId="2" shapeId="0" xr:uid="{008FBAA3-3F92-4F74-8053-F304D61651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jif não encontrado</t>
      </text>
    </comment>
    <comment ref="A8" authorId="3" shapeId="0" xr:uid="{5B5C6FAB-E327-4997-9278-A7CABE938E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A33" authorId="4" shapeId="0" xr:uid="{6514BDD3-B9B5-44D3-AE20-EF9724EC15B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 </t>
      </text>
    </comment>
    <comment ref="A35" authorId="5" shapeId="0" xr:uid="{988713D5-E566-4133-81A5-5F4F7315BE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JIF não encontrado.</t>
      </text>
    </comment>
    <comment ref="A36" authorId="6" shapeId="0" xr:uid="{9985B1BF-1465-4251-8B17-C133EC0F96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JIF não encontrado</t>
      </text>
    </comment>
    <comment ref="A38" authorId="7" shapeId="0" xr:uid="{7B12771F-7EEE-49FB-8FFD-25F3EECF63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tinha JIF, só JCI. peguei este último</t>
      </text>
    </comment>
    <comment ref="A39" authorId="8" shapeId="0" xr:uid="{1BF9A4EE-E7C3-4DDF-87E7-10DF4A3809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tem JIF, apenas JCI</t>
      </text>
    </comment>
    <comment ref="A43" authorId="9" shapeId="0" xr:uid="{C0F648EC-C5C4-4D8B-80C8-9FDC38BF42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ano mais recente era 1998!</t>
      </text>
    </comment>
    <comment ref="A51" authorId="10" shapeId="0" xr:uid="{78043B1C-8B5A-49DB-AF7B-1938CCCD20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A55" authorId="11" shapeId="0" xr:uid="{2C4A536C-16D7-4A12-B8BA-77D999E0A6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 xr:uid="{A00D9871-48D6-46AF-84F8-48512E259A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 xr:uid="{08A611B7-9235-4324-8616-CE47293553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 xr:uid="{DE8E5E87-9EA4-441F-88D0-013946F46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 xr:uid="{4998AAC7-31C4-46F8-9838-D07296901F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tc={8DE8CD54-DF05-40F8-9B10-61CEB6DF627C}</author>
  </authors>
  <commentList>
    <comment ref="C2" authorId="0" shapeId="0" xr:uid="{8DE8CD54-DF05-40F8-9B10-61CEB6DF627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sharedStrings.xml><?xml version="1.0" encoding="utf-8"?>
<sst xmlns="http://schemas.openxmlformats.org/spreadsheetml/2006/main" count="1461" uniqueCount="714">
  <si>
    <t>Item</t>
  </si>
  <si>
    <t>Diego Haddad</t>
  </si>
  <si>
    <t>Diego Brandão</t>
  </si>
  <si>
    <t>Diogo Mendonça</t>
  </si>
  <si>
    <t>Douglas Cardoso</t>
  </si>
  <si>
    <t>Eduardo Bezerra</t>
  </si>
  <si>
    <t>Eduardo Ogasawara</t>
  </si>
  <si>
    <t>Felipe Henriques</t>
  </si>
  <si>
    <t>Glauco Amorim</t>
  </si>
  <si>
    <t>Gustavo Guedes</t>
  </si>
  <si>
    <t xml:space="preserve">Joao Quadros </t>
  </si>
  <si>
    <t>Joel dos Santos</t>
  </si>
  <si>
    <t>Jorge Soares</t>
  </si>
  <si>
    <t>Kele Belloze</t>
  </si>
  <si>
    <t>Laura de Assis</t>
  </si>
  <si>
    <t>Pedro Gonzalez</t>
  </si>
  <si>
    <t>Rafaelli Coutinho</t>
  </si>
  <si>
    <t>Programa/
(ano*docente)</t>
  </si>
  <si>
    <t>Programa Quadrienal</t>
  </si>
  <si>
    <t>Anos</t>
  </si>
  <si>
    <t>Conferências (2021-2024)</t>
  </si>
  <si>
    <t>Geral</t>
  </si>
  <si>
    <t>Restrito</t>
  </si>
  <si>
    <t>Geral com discente</t>
  </si>
  <si>
    <t>Restrito com discente</t>
  </si>
  <si>
    <t>Periódicos (2021-2024)</t>
  </si>
  <si>
    <t>Geral na área</t>
  </si>
  <si>
    <t>Restrito na área</t>
  </si>
  <si>
    <t>Total  (2021-2024)</t>
  </si>
  <si>
    <t>Geral com Discente</t>
  </si>
  <si>
    <t>Restrito com Discente</t>
  </si>
  <si>
    <t>Produção Técnica</t>
  </si>
  <si>
    <t>Patente Depositada</t>
  </si>
  <si>
    <t>Patente Concedida</t>
  </si>
  <si>
    <t>Produto Técnico</t>
  </si>
  <si>
    <t>Recredenciamento</t>
  </si>
  <si>
    <t>Conferencias</t>
  </si>
  <si>
    <t>Periódicos</t>
  </si>
  <si>
    <t>&gt;= 1,4</t>
  </si>
  <si>
    <t>&gt;= 2,8</t>
  </si>
  <si>
    <t>Total Geral</t>
  </si>
  <si>
    <t>&gt;= 4,0</t>
  </si>
  <si>
    <t>Orientações PPCIC (andamento)</t>
  </si>
  <si>
    <t>Defesas 2021</t>
  </si>
  <si>
    <t>Defesas 2022</t>
  </si>
  <si>
    <t>Defesas 2023</t>
  </si>
  <si>
    <t>Defesas 2024</t>
  </si>
  <si>
    <t>IC 2021</t>
  </si>
  <si>
    <t>IC 2022</t>
  </si>
  <si>
    <t>IC 2023</t>
  </si>
  <si>
    <t>IC 2024</t>
  </si>
  <si>
    <t>TCC 2021</t>
  </si>
  <si>
    <t>TCC 2022</t>
  </si>
  <si>
    <t>TCC 2023</t>
  </si>
  <si>
    <t>TCC 2024</t>
  </si>
  <si>
    <t>Ano</t>
  </si>
  <si>
    <t>Numero</t>
  </si>
  <si>
    <t>Artigo</t>
  </si>
  <si>
    <t>Fórum</t>
  </si>
  <si>
    <t>Discente</t>
  </si>
  <si>
    <t>Qualis</t>
  </si>
  <si>
    <t>Área</t>
  </si>
  <si>
    <t>Discente Programa</t>
  </si>
  <si>
    <t>Docentes</t>
  </si>
  <si>
    <t>Fator</t>
  </si>
  <si>
    <t>Credenciamento</t>
  </si>
  <si>
    <t>A GRASP-RVND Metaheuristic for the Data Mule Routing Problem with Limited Autonomy</t>
  </si>
  <si>
    <t>MIT SCALE Latin America Conference</t>
  </si>
  <si>
    <t>IGOR DA SILVA MORAIS</t>
  </si>
  <si>
    <t>A Hybrid BRKGA Approach for the Two Stage Capacitated Facility Location Problem</t>
  </si>
  <si>
    <t>IEEE Congress on Evolutionary Computation</t>
  </si>
  <si>
    <t>GABRIEL SOUTO; IGOR MORAIS</t>
  </si>
  <si>
    <t>A interdisciplinaridade no desempenho da nota de matemática: um olhar para evolução do processo de ensino por meio de modelos regressivo</t>
  </si>
  <si>
    <t>Escola Regional de Informática</t>
  </si>
  <si>
    <t>Análise Comparativa de Métodos para Esteganografia Digital em Imagens</t>
  </si>
  <si>
    <t>Computer on the Beach</t>
  </si>
  <si>
    <t>Diego H. B. Zanchett</t>
  </si>
  <si>
    <t>Análise de dados de focos de calor no Brasil através de técnicas de visualização</t>
  </si>
  <si>
    <t>Brazilian e-Science Workshop</t>
  </si>
  <si>
    <t>JÉSSICA DA SILVA COSTA</t>
  </si>
  <si>
    <t>Análise de métodos de tratamento de outliers para predição dos retornos de índices de ações negociados em bolsa</t>
  </si>
  <si>
    <t>Simpósio Brasileiro de Banco de Dados</t>
  </si>
  <si>
    <t>CRISTIANE GEA</t>
  </si>
  <si>
    <t>Simpósio Brasileiro de Jogos e Entretenimento Digital</t>
  </si>
  <si>
    <t>Avaliação dos diferentes tipos de redes LSTM para predição de ações na bolsa de valores</t>
  </si>
  <si>
    <t>LUCAS GIUSTI TAVARES</t>
  </si>
  <si>
    <t>Avaliando contribuições na substituição de termos informais em classificação de texto de redes sociais com NetSpeak-BR</t>
  </si>
  <si>
    <t>Brazilian Workshop on Social Network Analysis and Mining</t>
  </si>
  <si>
    <t>RODOLPHO DA SILVA NASCIMENTO</t>
  </si>
  <si>
    <t>Benchmarking Nonstationary Time Series Prediction</t>
  </si>
  <si>
    <t>Concurso de Teses e Dissertações</t>
  </si>
  <si>
    <t>REBECCA PONTES SALLES</t>
  </si>
  <si>
    <t>Classificação da Avaliação de Imersão em Aplicações Multissensoriais</t>
  </si>
  <si>
    <t>FLÁVIO MARQUES</t>
  </si>
  <si>
    <t>Construindo um jogo para o ensino de biorremediação</t>
  </si>
  <si>
    <t>Simpósio Brasileiro de Informática na Educação</t>
  </si>
  <si>
    <t>Detecção automática de arritmia cardíaca em procedimento de Hemodiálise usando Random Forests</t>
  </si>
  <si>
    <t>Brazilian Congress on Computational Intelligence</t>
  </si>
  <si>
    <t>DJEnsemble: a Cost-Based Selection and Allocation of a DisjointEnsemble of Spatio-temporal Models</t>
  </si>
  <si>
    <t>International Conference on Scientific and Statistical Database Management</t>
  </si>
  <si>
    <t>Drone with anti-larvaes biomedicines, using deep learning to identify the reproduction zones of insects</t>
  </si>
  <si>
    <t>Iberian Conference on Information Systems and Technologies</t>
  </si>
  <si>
    <t>MESQUITA, G. F. ; SANTOS, L. R. ; DIAS, E. E. C. ; LANZILLOTTA, L. C. ; PIMENTEL, P. H. L. S.</t>
  </si>
  <si>
    <t>Estimating transaction cost for cloud-based private ethereum blockchains</t>
  </si>
  <si>
    <t>Simpósio Brasileiro de Redes de Computadores e Sistemas Distribuídos</t>
  </si>
  <si>
    <t>IGOR GONÇALVES DA SILVA</t>
  </si>
  <si>
    <t>Funções Executivas e Idade Relativa como Preditores de Sucesso no Futebol</t>
  </si>
  <si>
    <t>Generalização de Mineração de Sequências Restritas no Espaço e no Tempo</t>
  </si>
  <si>
    <t>ANTONIO JOSE DE CASTRO FILHO</t>
  </si>
  <si>
    <t>GuitarEasy - An Interactive Approach to the Study of Music Theory</t>
  </si>
  <si>
    <t>Thiago Soares de Paula</t>
  </si>
  <si>
    <t>Integrated Dataset of Brazilian Flights</t>
  </si>
  <si>
    <t>Mighty Math Knight: A Game for Learning Basic Math Operations</t>
  </si>
  <si>
    <t>Latin American Conference on Learning Objects and Technologies</t>
  </si>
  <si>
    <t>LUCIANA DA COSTA VARJOLO</t>
  </si>
  <si>
    <t>MAAT: Multisensorial Audiobooks Authoring Tool</t>
  </si>
  <si>
    <t>Brazilian Symposium on Multimedia and the Web</t>
  </si>
  <si>
    <t>HELDER YUKIO OKUNO</t>
  </si>
  <si>
    <t>MastitAlert: em direção à detecção da mastite durante o ato da ordenha</t>
  </si>
  <si>
    <t>GABRIEL PORTUGAL GUADELUPE DOS SANTOS</t>
  </si>
  <si>
    <t>Modelagem de um dataflow para detecção, classificação e predição temporal de anomalias</t>
  </si>
  <si>
    <t>Encontro Acadêmico de Modelagem Computacional</t>
  </si>
  <si>
    <t>Multisensorial Audiobooks: Improving Accessibility with WCAG Standard</t>
  </si>
  <si>
    <t>NAT: Towards an Emotional Agent</t>
  </si>
  <si>
    <t>FELIPE OLIVEIRA FEDER</t>
  </si>
  <si>
    <t>Online event detection for sensor data</t>
  </si>
  <si>
    <t>Ibero-Latin American Congress on Computational Methods in Engineering</t>
  </si>
  <si>
    <t>JANIO DE SOUZA LIMA</t>
  </si>
  <si>
    <t>Prioridade Dinâmica de Mensagens Aplicada a Redes de Sensores Corporais Sem-Fio</t>
  </si>
  <si>
    <t>Computer on The Beach</t>
  </si>
  <si>
    <t>Creyton Barreto</t>
  </si>
  <si>
    <t>Requirements for an Ontology of Digital Twins</t>
  </si>
  <si>
    <t>Workshop on Ontology-Driven Conceptual Modeling of Digital Twins</t>
  </si>
  <si>
    <t>Sensory Effect Extraction for 360° Media Content</t>
  </si>
  <si>
    <t>RAPHAEL ABREU</t>
  </si>
  <si>
    <t>Um algoritmo genético com função de aptidão adaptável para redução de dimensionalidade em dados educacionais</t>
  </si>
  <si>
    <t>DANIELLE FONTES DE ALBUQUERQUE</t>
  </si>
  <si>
    <t>Uma heurística baseada em GRASP-VND para o Problema de Roteamento de Mula de Dados em Redes Mistas</t>
  </si>
  <si>
    <t>Simpósio Brasileiro de Pesquisa Operacional</t>
  </si>
  <si>
    <t>Wrapper Algorithm for choosing machine learning functions and methods in SSAS</t>
  </si>
  <si>
    <t>CCSC Northwestern Regional Conference</t>
  </si>
  <si>
    <t>Bio-Inspired Protocols for Embodied Multi-Agent Systems</t>
  </si>
  <si>
    <t>International Conference on Agents and Artificial Intelligence</t>
  </si>
  <si>
    <t>VINICIUS SOUZA DE JESUS</t>
  </si>
  <si>
    <t>Longest Common Subsequence Aplicada à Comparação de Proteínas</t>
  </si>
  <si>
    <t>SisCoV-BR: Sistema de informação de Casos de COVID-19 no Brasil</t>
  </si>
  <si>
    <t>Uma implementação da busca em largura com estrutura bag e OpenMP</t>
  </si>
  <si>
    <t>Simpósio em Sistemas Computacionais de Alto Desempenho</t>
  </si>
  <si>
    <t>Captura de Fluxo Evasivo via Decomposição de Benders</t>
  </si>
  <si>
    <t>Congresso Nacional de Pesquisa e Ensino em Transporte</t>
  </si>
  <si>
    <t>Method for Treating Anomalies in Multivariate Time Series</t>
  </si>
  <si>
    <t>Prescriptive Analytics in Rescue Operations: A Combinatorial Optimization approach</t>
  </si>
  <si>
    <t>Ibero-American Congress of Smart Cities</t>
  </si>
  <si>
    <t>Um Processo para Extração de Dados em Mídias Sociais para Detecção de Reações Adversas a Medicamentos</t>
  </si>
  <si>
    <t>Aplicação do Algoritmo de k-Means na Visualização de Mapas Digitais de Elevação de Solo na Região do Recôncavo Baiano</t>
  </si>
  <si>
    <t>GABRIELE PEREIRA</t>
  </si>
  <si>
    <t>Visualização de dados de turbinas eólicas baseado na Análise de Componentes Principais</t>
  </si>
  <si>
    <t>DANIELLE RODRIGUES PINNA</t>
  </si>
  <si>
    <t>Modelagem Computacional de Efeitos Sensoriais</t>
  </si>
  <si>
    <t>RENATO DE OLIVEIRA RODRIGUES</t>
  </si>
  <si>
    <t>Construção e Validação de um Sistema IoT de Baixo Custo para Detecção de Vazamento de Água em Residências</t>
  </si>
  <si>
    <t>LUIS BARBOSA</t>
  </si>
  <si>
    <t>VITA 2.0 - Sistema de avaliação de aulas</t>
  </si>
  <si>
    <t>Identification of the North Brazil Current through spatial motifs in fixed time slices</t>
  </si>
  <si>
    <t>RICARDO BUÇARD DE CASTRO</t>
  </si>
  <si>
    <t>SkillsMe - Plataforma de Troca de Conhecimento</t>
  </si>
  <si>
    <t>A conjugated evolutionary algorithm for hyperparameter optimization</t>
  </si>
  <si>
    <t>MARCELLO SERQUEIRA</t>
  </si>
  <si>
    <t>Forward and Backward Inertial Anomaly Detector: A Novel Time Series Event Detection Method</t>
  </si>
  <si>
    <t>IEEE International Joint Conference on Neural Networks</t>
  </si>
  <si>
    <t>A Hybrid BRKGA Approach for the Multiproduct Two Stage Capacitated Facility Location Problem</t>
  </si>
  <si>
    <t>Exploring Data Preprocessing and Machine Learning Methods for Forecasting Worldwide Fertilizers Consumption</t>
  </si>
  <si>
    <t>ADALBERTO ANDRADE</t>
  </si>
  <si>
    <t>An IoT-based System for Landslides Warnings Using a Real Time Slope Monitoring Model</t>
  </si>
  <si>
    <t>Rescue Operations on Urban Forests: A Metaheuristic Approach</t>
  </si>
  <si>
    <r>
      <t>A Family of Adaptive Volterra Filters Based on Maximum Correntropy Criterion for Improved Active Control of Impulsive Noise</t>
    </r>
    <r>
      <rPr>
        <sz val="11"/>
        <color rgb="FF000000"/>
        <rFont val="Century Gothic"/>
        <family val="1"/>
      </rPr>
      <t>.</t>
    </r>
  </si>
  <si>
    <t>CIRCUITS, SYSTEMS, AND SIGNAL PROCESSING</t>
  </si>
  <si>
    <t>A horizontal partitioning-based method for frequent pattern mining in transport timetable</t>
  </si>
  <si>
    <t>EXPERT SYSTEMS</t>
  </si>
  <si>
    <r>
      <t>A Hybrid Iterated Local Search Heuristic for the Traveling Salesperson Problem with Hotel Selection</t>
    </r>
    <r>
      <rPr>
        <sz val="11"/>
        <color rgb="FF000000"/>
        <rFont val="Century Gothic"/>
        <family val="1"/>
      </rPr>
      <t>.</t>
    </r>
  </si>
  <si>
    <t>COMPUTERS &amp; OPERATIONS RESEARCH</t>
  </si>
  <si>
    <r>
      <t>A Hybrid Matheuristic for the Two-Stage Capacitated Facility Location Problem</t>
    </r>
    <r>
      <rPr>
        <sz val="11"/>
        <color rgb="FF000000"/>
        <rFont val="Century Gothic"/>
        <family val="1"/>
      </rPr>
      <t>.</t>
    </r>
  </si>
  <si>
    <t>EXPERT SYSTEMS WITH APPLICATIONS</t>
  </si>
  <si>
    <t>GARIEL SOUTO; IGOR MORAIS</t>
  </si>
  <si>
    <r>
      <t>A influência de mídias multissensoriais na aprendizagem de crianças com transtorno de leitura</t>
    </r>
    <r>
      <rPr>
        <sz val="11"/>
        <color rgb="FF000000"/>
        <rFont val="Century Gothic"/>
        <family val="1"/>
      </rPr>
      <t>.</t>
    </r>
  </si>
  <si>
    <t>REVISTA PSICOPEDAGOGIA</t>
  </si>
  <si>
    <t>ELLEN PAIXÃO SILVA</t>
  </si>
  <si>
    <r>
      <t>A non-uniform NSAF-SF adaptive algorithm</t>
    </r>
    <r>
      <rPr>
        <sz val="11"/>
        <color rgb="FF000000"/>
        <rFont val="Century Gothic"/>
        <family val="1"/>
      </rPr>
      <t>.</t>
    </r>
  </si>
  <si>
    <t>ELECTRONICS LETTERS</t>
  </si>
  <si>
    <r>
      <t>A Rhythmic Activation Mechanism for Soft Multi-legged Robots</t>
    </r>
    <r>
      <rPr>
        <sz val="11"/>
        <color rgb="FF000000"/>
        <rFont val="Century Gothic"/>
        <family val="1"/>
      </rPr>
      <t>.</t>
    </r>
  </si>
  <si>
    <t>JOURNAL OF INTELLIGENT &amp; ROBOTIC SYSTEMS</t>
  </si>
  <si>
    <t>AÇÕES DE EXTENSÃO COM USO DO GESTALTISMO E TECNOLOGIA: DESENVOLVIMENTO DE FERRAMENTAS ROBÓTICAS VOLTADAS PARA O PÚBLICO EXTERNO À INSTITUIÇÃO</t>
  </si>
  <si>
    <t>REVISTA CONEXÃO UEPG</t>
  </si>
  <si>
    <t>JOMAR FERREIRA MONSORES</t>
  </si>
  <si>
    <r>
      <t>Blind and Semi-blind Anechoic Mixing System Identification Using Multichannel Matching Pursuit</t>
    </r>
    <r>
      <rPr>
        <sz val="11"/>
        <color rgb="FF000000"/>
        <rFont val="Century Gothic"/>
        <family val="1"/>
      </rPr>
      <t>.</t>
    </r>
  </si>
  <si>
    <r>
      <t>Constrained Least Mean Square Algorithm with Coefficient Reusing</t>
    </r>
    <r>
      <rPr>
        <sz val="11"/>
        <color rgb="FF000000"/>
        <rFont val="Century Gothic"/>
        <family val="1"/>
      </rPr>
      <t>.</t>
    </r>
  </si>
  <si>
    <t>Designing screen layout in multimedia applications through integer programming and metaheuristic</t>
  </si>
  <si>
    <t>RAIRO-OPERATIONS RESEARCH</t>
  </si>
  <si>
    <t>IGOR MORAIS</t>
  </si>
  <si>
    <r>
      <rPr>
        <sz val="12"/>
        <color rgb="FF000000"/>
        <rFont val="Calibri"/>
        <family val="2"/>
      </rPr>
      <t>Diagnostic and severity analysis of combined failures composed by imbalance and misalignment in rotating machines</t>
    </r>
    <r>
      <rPr>
        <sz val="11"/>
        <color rgb="FF000000"/>
        <rFont val="Century Gothic"/>
        <family val="1"/>
      </rPr>
      <t>.</t>
    </r>
  </si>
  <si>
    <t>INTERNATIONAL JOURNAL OF ADVANCED MANUFACTURING TECHNOLOGY</t>
  </si>
  <si>
    <r>
      <t>Educating Diabetic Patients through an SMS intervention: Randomized Controlled Trial at a Brazilian Public Hospital</t>
    </r>
    <r>
      <rPr>
        <sz val="11"/>
        <color rgb="FF000000"/>
        <rFont val="Century Gothic"/>
        <family val="1"/>
      </rPr>
      <t>.</t>
    </r>
  </si>
  <si>
    <t>ARCHIVES OF ENDOCRINOLOGY AND METABOLISM</t>
  </si>
  <si>
    <r>
      <t>Estimation of COVID-19 Under-Reporting in the Brazilian States Through SARI</t>
    </r>
    <r>
      <rPr>
        <sz val="11"/>
        <color rgb="FF000000"/>
        <rFont val="Century Gothic"/>
        <family val="1"/>
      </rPr>
      <t>.</t>
    </r>
  </si>
  <si>
    <t>New Generation Computing</t>
  </si>
  <si>
    <r>
      <t>Evaluating Temporal Bias in Time Series Event Detection Methods</t>
    </r>
    <r>
      <rPr>
        <sz val="11"/>
        <color rgb="FF000000"/>
        <rFont val="Century Gothic"/>
        <family val="1"/>
      </rPr>
      <t>.</t>
    </r>
  </si>
  <si>
    <t>Journal of Information and Data Management - JIDM</t>
  </si>
  <si>
    <t>JANIO SOUZA DE LIMA</t>
  </si>
  <si>
    <r>
      <t>Flattening the curves: on-off lock-down strategies for COVID-19 with an application to Brazil</t>
    </r>
    <r>
      <rPr>
        <sz val="11"/>
        <color rgb="FF000000"/>
        <rFont val="Century Gothic"/>
        <family val="1"/>
      </rPr>
      <t>.</t>
    </r>
  </si>
  <si>
    <t>Journal of Mathematics in Industry</t>
  </si>
  <si>
    <t>Frequent pattern mining augmented by social network parameters for measuring graduation and dropout time factors: A case study on a production engineering course</t>
  </si>
  <si>
    <t>SOCIO-ECONOMIC PLANNING SCIENCES</t>
  </si>
  <si>
    <r>
      <t>Heuristic approach applied to the optimum stratification problem</t>
    </r>
    <r>
      <rPr>
        <sz val="11"/>
        <color rgb="FF000000"/>
        <rFont val="Century Gothic"/>
        <family val="1"/>
      </rPr>
      <t>.</t>
    </r>
  </si>
  <si>
    <r>
      <t>MAPPING SUPPLY CHAIN STUDIES FROM THE SUSTAINABLE PERSPECTIVE</t>
    </r>
    <r>
      <rPr>
        <sz val="11"/>
        <color rgb="FF000000"/>
        <rFont val="Century Gothic"/>
        <family val="1"/>
      </rPr>
      <t>.</t>
    </r>
  </si>
  <si>
    <t>TECNOLOGIA &amp; CULTURA (CEFET/RJ)</t>
  </si>
  <si>
    <t>Mobile device interface development for use with a multiple data platform.</t>
  </si>
  <si>
    <t>Brazilian Journal of Development</t>
  </si>
  <si>
    <r>
      <t>Multi-Armed Bandits for Minesweeper: Profiting from Exploration-Exploitation Synergy</t>
    </r>
    <r>
      <rPr>
        <sz val="11"/>
        <color rgb="FF000000"/>
        <rFont val="Century Gothic"/>
        <family val="1"/>
      </rPr>
      <t>.</t>
    </r>
  </si>
  <si>
    <t>IEEE Transactions on Games</t>
  </si>
  <si>
    <r>
      <t>Neonatal mortality rates in Brazilian municipalities: from 1996 to 2017</t>
    </r>
    <r>
      <rPr>
        <sz val="11"/>
        <color rgb="FF000000"/>
        <rFont val="Century Gothic"/>
        <family val="1"/>
      </rPr>
      <t>.</t>
    </r>
  </si>
  <si>
    <t>BMC RESEARCH NOTES</t>
  </si>
  <si>
    <r>
      <t>New efficient subband structures for blind source separation</t>
    </r>
    <r>
      <rPr>
        <sz val="11"/>
        <color rgb="FF000000"/>
        <rFont val="Century Gothic"/>
        <family val="1"/>
      </rPr>
      <t>.</t>
    </r>
  </si>
  <si>
    <t>SIGNAL PROCESSING</t>
  </si>
  <si>
    <r>
      <t>On the Skewness of the LMS Adaptive Weights</t>
    </r>
    <r>
      <rPr>
        <sz val="11"/>
        <color rgb="FF000000"/>
        <rFont val="Century Gothic"/>
        <family val="1"/>
      </rPr>
      <t>.</t>
    </r>
  </si>
  <si>
    <t>IEEE TRANSACTIONS ON CIRCUITS AND SYSTEMS II-EXPRESS BRIEFS</t>
  </si>
  <si>
    <t>THIAGO RANGEL PESSET GONZAGA</t>
  </si>
  <si>
    <r>
      <t>STConvS2S: Spatiotemporal Convolutional Sequence to Sequence Network for Weather Forecasting</t>
    </r>
    <r>
      <rPr>
        <sz val="11"/>
        <color rgb="FF000000"/>
        <rFont val="Century Gothic"/>
        <family val="1"/>
      </rPr>
      <t>.</t>
    </r>
  </si>
  <si>
    <t>NEUROCOMPUTING</t>
  </si>
  <si>
    <t>RAFAELA DE CASTRO  DO NASCIMENTO</t>
  </si>
  <si>
    <r>
      <t>The Happy Level: A New Approach to Measure Happiness at Work Using Mixed Methods</t>
    </r>
    <r>
      <rPr>
        <sz val="11"/>
        <color rgb="FF000000"/>
        <rFont val="Century Gothic"/>
        <family val="1"/>
      </rPr>
      <t>.</t>
    </r>
  </si>
  <si>
    <t>International Journal of Qualitative Methods</t>
  </si>
  <si>
    <r>
      <t>Transient Analysis of the Bias-Compensated LMS Algorithm</t>
    </r>
    <r>
      <rPr>
        <sz val="11"/>
        <color rgb="FF000000"/>
        <rFont val="Century Gothic"/>
        <family val="1"/>
      </rPr>
      <t>.</t>
    </r>
  </si>
  <si>
    <t>JOURNAL OF COMMUNICATION AND INFORMATION SYSTEMS (ONLINE)</t>
  </si>
  <si>
    <r>
      <t>Transient Analysis of the Set-Membership LMS Algorithm</t>
    </r>
    <r>
      <rPr>
        <sz val="11"/>
        <color rgb="FF000000"/>
        <rFont val="Century Gothic"/>
        <family val="1"/>
      </rPr>
      <t>.</t>
    </r>
  </si>
  <si>
    <t>IEEE COMMUNICATIONS LETTERS</t>
  </si>
  <si>
    <r>
      <t>TSPred: A framework for nonstationary time series prediction</t>
    </r>
    <r>
      <rPr>
        <sz val="11"/>
        <color rgb="FF000000"/>
        <rFont val="Century Gothic"/>
        <family val="1"/>
      </rPr>
      <t>.</t>
    </r>
  </si>
  <si>
    <t>Using Multisensory Content to Impact the Quality of Experience of Reading Digital Books</t>
  </si>
  <si>
    <t>ACM TRANSACTIONS ON MULTIMEDIA COMPUTING COMMUNICATIONS AND APPLICATIONS</t>
  </si>
  <si>
    <t>NATALIA VIEIRA; ELLEN PAIXÃO SILVA</t>
  </si>
  <si>
    <r>
      <t>Weight classifier using optical time domain reflectometry and a long period grating sensor</t>
    </r>
    <r>
      <rPr>
        <sz val="11"/>
        <color rgb="FF000000"/>
        <rFont val="Century Gothic"/>
        <family val="1"/>
      </rPr>
      <t>.</t>
    </r>
  </si>
  <si>
    <t>OPTICAL FIBER TECHNOLOGY</t>
  </si>
  <si>
    <t>On the relevance of data science for flight delay research: a systematic review</t>
  </si>
  <si>
    <t>TRANSPORT REVIEWS</t>
  </si>
  <si>
    <t>LEANDRO MAIA GONÇALVES</t>
  </si>
  <si>
    <t>Performance Evaluation of a Microstrip Wearable Antenna considering On-Body Curvature</t>
  </si>
  <si>
    <t>RESEARCH INVENTY: INTERNATIONAL JOURNAL OF ENGINEERING AND SCIENCE</t>
  </si>
  <si>
    <t>Machine Learning Approaches to Extreme Weather Events Forecast in Urban Areas: challenges and initial results</t>
  </si>
  <si>
    <t>Supercomputing Frontiers and Innovations</t>
  </si>
  <si>
    <t>AUGUSTO JOSÉ MOREIRA DA FONSECA</t>
  </si>
  <si>
    <t>THE JOURNAL OF SYSTEMS AND SOFTWARE</t>
  </si>
  <si>
    <t>O Uso de Simuladores no Ensino de Redes de Computadores</t>
  </si>
  <si>
    <t>REVISTA GUARÁ</t>
  </si>
  <si>
    <t>SOFTWARE QUALITY JOURNAL</t>
  </si>
  <si>
    <t>Analyzing flight delay prediction under concept drift</t>
  </si>
  <si>
    <t>EVOLVING SYSTEMS</t>
  </si>
  <si>
    <t>Produto</t>
  </si>
  <si>
    <t>Tipo</t>
  </si>
  <si>
    <t>BIOLAND</t>
  </si>
  <si>
    <t>Software/Aplicativo (Programa de computador)</t>
  </si>
  <si>
    <t>ANDERSON LUIZ BERNARDES DA ROCHA</t>
  </si>
  <si>
    <t>ECOLAB</t>
  </si>
  <si>
    <t>LUIS HENRIQUE DOS REIS LACERDA NOGUEIRA</t>
  </si>
  <si>
    <t>GSTSM: GENERALIZED SPATIAL-TIME SEQUENCE MINER</t>
  </si>
  <si>
    <t>IV ESCOLA REGIONAL DE INFORMÁTICA DO RIO DE JANEIRO (ERI/RJ)</t>
  </si>
  <si>
    <t>Evento organizado</t>
  </si>
  <si>
    <t>IX SYMPOSIUM ON KNOWLEDGE DISCOVERY, MINING AND LEARNING</t>
  </si>
  <si>
    <t>VII ESCOLA REGIONAL DE ALTO DESEMPENHO DO RIO DE JANEIRO (ERAD/RJ)</t>
  </si>
  <si>
    <t>XXXVI SIMPÓSIO BRASILEIRO DE BANCO DE DADOS</t>
  </si>
  <si>
    <t>DATASET OF HISTORICAL RECORD OF NEONATAL MORTALITY RATES IN BRAZILIAN MUNICIPALITIES</t>
  </si>
  <si>
    <t>Base de dados técnico-científica</t>
  </si>
  <si>
    <t>REBECCA PONTES SALLES; IGOR DA SILVA MORAIS; BALTHAZAR DA SILVA CUNHA PAIXAO</t>
  </si>
  <si>
    <t>CS</t>
  </si>
  <si>
    <t>Value</t>
  </si>
  <si>
    <t>-</t>
  </si>
  <si>
    <t>NI</t>
  </si>
  <si>
    <t>ACM Multimedia Systems Conference</t>
  </si>
  <si>
    <t>A2</t>
  </si>
  <si>
    <t>ACM SIGWEB International Symposium on Document Engineering</t>
  </si>
  <si>
    <t>B1</t>
  </si>
  <si>
    <t>Brazilian Conference on Intelligent Systems</t>
  </si>
  <si>
    <t>A4</t>
  </si>
  <si>
    <t>B4</t>
  </si>
  <si>
    <t>Brazilian Seminar on Ontologies</t>
  </si>
  <si>
    <t>B3</t>
  </si>
  <si>
    <t>Brazilian Symposium in Information and Human Language Technology</t>
  </si>
  <si>
    <t>Brazilian Symposium on Bioinformatics</t>
  </si>
  <si>
    <t>Concurso de Trabalhos de Iniciação Científica</t>
  </si>
  <si>
    <t>Conferencia Latinoamericana de Informática</t>
  </si>
  <si>
    <t>B2</t>
  </si>
  <si>
    <t>Congreso Internacional de Informática Educativa</t>
  </si>
  <si>
    <t>Congresso Brasileiro de Automática</t>
  </si>
  <si>
    <t>Congresso Brasileiro de Metrologia</t>
  </si>
  <si>
    <t>Congresso Nacional de Matemática Aplicada e Computacional</t>
  </si>
  <si>
    <t>Encontro Nacional de Engenharia de Produção</t>
  </si>
  <si>
    <t>Encontro Nacional de Modelagem Computacional</t>
  </si>
  <si>
    <t>ER Forum</t>
  </si>
  <si>
    <t>Escola Regional de Sistemas de Informação</t>
  </si>
  <si>
    <t>Escola Regional de Sistemas de Informação do Rio de Janeiro</t>
  </si>
  <si>
    <t>European Conference on Combinatorics, Graph Theory and Applications</t>
  </si>
  <si>
    <t>A3</t>
  </si>
  <si>
    <t>European Signal Processing Conference</t>
  </si>
  <si>
    <t>Iberoamerican Congress on Smart Cities</t>
  </si>
  <si>
    <t>A1</t>
  </si>
  <si>
    <t>IEEE International Conference on Electro Information Technology</t>
  </si>
  <si>
    <t>IEEE INTERNATIONAL WORKSHOP ON Metrology for Industry 4.0 and IoT</t>
  </si>
  <si>
    <t>International Conference of the Chilean Computer Science Society</t>
  </si>
  <si>
    <t>International Conference on Algorithmic Aspects of Information and Management</t>
  </si>
  <si>
    <t>International Conference on Big Data Analytics and Knowledge Discovery</t>
  </si>
  <si>
    <t>International Conference on Bio-inspired Information and Communications Technologies</t>
  </si>
  <si>
    <t>International Conference on Computational Science</t>
  </si>
  <si>
    <t>International Conference on Computational Science and Its Applications</t>
  </si>
  <si>
    <t>International Conference on Computer Supported Education</t>
  </si>
  <si>
    <t>INTERNATIONAL CONFERENCE ON SYSTEMS</t>
  </si>
  <si>
    <t>International Conference on Systems, Signals and Image Processing</t>
  </si>
  <si>
    <t>International Congress Excellence Awards</t>
  </si>
  <si>
    <t>IV Workshop sobre Regulação, Avaliação da Conformidade, Testes e Padrões de Segurança</t>
  </si>
  <si>
    <t>Latin America High Performance Computing Conference</t>
  </si>
  <si>
    <t>Latin America Workshop on Data Science</t>
  </si>
  <si>
    <t>Latin American High-Performance Computing Conference</t>
  </si>
  <si>
    <t>Simpósio Brasileiro de Telecomunicações</t>
  </si>
  <si>
    <t>Simpósio Brasileiro de Telecomunicações e Processamento de Sinais</t>
  </si>
  <si>
    <t>Simpósio Brasileiro em Segurança da Informação e de Sistemas Computacionais</t>
  </si>
  <si>
    <t>Simpósio Brasileiro sobre Fatores Humanos em Sistemas Computacionais</t>
  </si>
  <si>
    <t>Symposium on Knowledge Discovery, Mining and Learning</t>
  </si>
  <si>
    <t>VECPAR</t>
  </si>
  <si>
    <t>Workshop Brasileiro sobre Internet das Coisas na Educação</t>
  </si>
  <si>
    <t>Workshop de Trabalhos de Iniciação Científica</t>
  </si>
  <si>
    <t>Workshop do Simpósio Brasileiro em Segurança da Informação e de Sistemas Computacionais</t>
  </si>
  <si>
    <t>Workshop on Applications for Multi-Core Architectures</t>
  </si>
  <si>
    <t>Workshop on Metrology for Industry 4.0 and IoT</t>
  </si>
  <si>
    <t>WTDBD</t>
  </si>
  <si>
    <t>ISSN/eISSN</t>
  </si>
  <si>
    <t>JIF (Percentil)</t>
  </si>
  <si>
    <t>Scopus</t>
  </si>
  <si>
    <t>Qualis-PDF</t>
  </si>
  <si>
    <t>QJIF</t>
  </si>
  <si>
    <t>Qscopus</t>
  </si>
  <si>
    <t>Max(PDF:Scopus)</t>
  </si>
  <si>
    <t>1551-6857/1551-6865</t>
  </si>
  <si>
    <t>ADVANCES IN INTELLIGENT SYSTEMS AND COMPUTING</t>
  </si>
  <si>
    <t>2194-5357/2194-5365</t>
  </si>
  <si>
    <t>ALGORITHMICA</t>
  </si>
  <si>
    <t>0178-4617/1432-0541</t>
  </si>
  <si>
    <t>APPLICABLE ANALYSIS AND DISCRETE MATHEMATICS</t>
  </si>
  <si>
    <t>1452-8630/N/A</t>
  </si>
  <si>
    <t>APPLIED SOFT COMPUTING</t>
  </si>
  <si>
    <t>1568-4946/1872-9681</t>
  </si>
  <si>
    <t>1756-0500</t>
  </si>
  <si>
    <t>0278-081X/1531-5878</t>
  </si>
  <si>
    <t>COMPUTER METHODS AND PROGRAMS IN BIOMEDICINE</t>
  </si>
  <si>
    <t>0169-2607/1872-7565</t>
  </si>
  <si>
    <t>COMPUTERS &amp; INDUSTRIAL ENGINEERING</t>
  </si>
  <si>
    <t>0360-8352/1879-0550</t>
  </si>
  <si>
    <t>0305-0548/1873-765X</t>
  </si>
  <si>
    <t>DISCRETE APPLIED MATHEMATICS</t>
  </si>
  <si>
    <t>0166-218X/1872-6771</t>
  </si>
  <si>
    <t>0013-5194/1350-911X</t>
  </si>
  <si>
    <t>0266-4720/1468-0394</t>
  </si>
  <si>
    <t>0957-4174/1873-6793</t>
  </si>
  <si>
    <t>FUTURE GENERATION COMPUTER SYSTEMS</t>
  </si>
  <si>
    <t>0167-739X/1872-7115</t>
  </si>
  <si>
    <t>1089-7798/1558-2558</t>
  </si>
  <si>
    <t>IEEE LATIN AMERICA TRANSACTIONS</t>
  </si>
  <si>
    <t>1548-0992/1548-0992</t>
  </si>
  <si>
    <t>IEEE MULTIMEDIA</t>
  </si>
  <si>
    <t>1070-986X/1941-0166</t>
  </si>
  <si>
    <t>IEEE SIGNAL PROCESSING LETTERS</t>
  </si>
  <si>
    <t>1070-9908/1558-2361</t>
  </si>
  <si>
    <t>2475-1502/2475-1510</t>
  </si>
  <si>
    <t>1549-7747/1558-3791</t>
  </si>
  <si>
    <t>IEEE TRANSACTIONS ON INDUSTRIAL INFORMATICS</t>
  </si>
  <si>
    <t>1551-3203/1941-0050</t>
  </si>
  <si>
    <t>IEEE TRANSACTIONS ON LEARNING TECHNOLOGIES</t>
  </si>
  <si>
    <t>1939-1382/1939-1382</t>
  </si>
  <si>
    <t>IEEE/ACM TRANSACTIONS ON COMPUTATIONAL BIOLOGY AND BIOINFORMATICS</t>
  </si>
  <si>
    <t>1545-5963/1557-9964</t>
  </si>
  <si>
    <t>Intelligent Data Analysis</t>
  </si>
  <si>
    <t>1088-467X/1571-4128</t>
  </si>
  <si>
    <t>1609-4069/1609-4069</t>
  </si>
  <si>
    <t>0268-3768/1433-3015</t>
  </si>
  <si>
    <t>INTERNATIONAL TRANSACTIONS IN OPERATIONAL RESEARCH</t>
  </si>
  <si>
    <t>0969-6016/1475-3995</t>
  </si>
  <si>
    <t>ISYS: REVISTA BRASILEIRA DE SISTEMAS DE INFORMAÇÃO</t>
  </si>
  <si>
    <t>1984-2902</t>
  </si>
  <si>
    <t>JOURNAL OF BIOMEDICAL INFORMATICS</t>
  </si>
  <si>
    <t>1532-0464/1532-0480</t>
  </si>
  <si>
    <t>1980-6604</t>
  </si>
  <si>
    <t>JOURNAL OF INFORMATION AND DATA MANAGEMENT - JIDM</t>
  </si>
  <si>
    <t>2178-7107</t>
  </si>
  <si>
    <t>0921-0296/1573-0409</t>
  </si>
  <si>
    <t>JOURNAL OF INTERNET SERVICES AND APPLICATIONS</t>
  </si>
  <si>
    <t>1867-4828/1869-0238</t>
  </si>
  <si>
    <t>2190-5983/2190-5983</t>
  </si>
  <si>
    <t>KNOWLEDGE-BASED SYSTEMS</t>
  </si>
  <si>
    <t>0950-7051/1872-7409</t>
  </si>
  <si>
    <t>LINEAR ALGEBRA AND ITS APPLICATIONS</t>
  </si>
  <si>
    <t>0024-3795/1873-1856</t>
  </si>
  <si>
    <t>MATCH</t>
  </si>
  <si>
    <t>0340-6253/N/A</t>
  </si>
  <si>
    <t>MICROWAVE AND OPTICAL TECHNOLOGY LETTERS</t>
  </si>
  <si>
    <t>0895-2477/1098-2760</t>
  </si>
  <si>
    <t>MOBILE NETWORKS AND APPLICATIONS</t>
  </si>
  <si>
    <t>1383-469X</t>
  </si>
  <si>
    <t>MULTIMEDIA TOOLS AND APPLICATIONS</t>
  </si>
  <si>
    <t>1380-7501/1573-7721</t>
  </si>
  <si>
    <t>0925-2312/1872-8286</t>
  </si>
  <si>
    <t>0288-3635/1882-7055</t>
  </si>
  <si>
    <t>1068-5200/1095-9912</t>
  </si>
  <si>
    <t>0399-0559/1290-3868</t>
  </si>
  <si>
    <t>2278-4721</t>
  </si>
  <si>
    <t>Revista Brasileira de Medicina do Esporte</t>
  </si>
  <si>
    <t>1517-8692</t>
  </si>
  <si>
    <t>REVISTA FACULTAD DE INGENIERÍA UNIVERSIDAD DE ANTIOQUIA</t>
  </si>
  <si>
    <t>0103-8486</t>
  </si>
  <si>
    <t>SECURITY AND COMMUNICATION NETWORKS</t>
  </si>
  <si>
    <t>1939-0114/1939-0122</t>
  </si>
  <si>
    <t>0165-1684/1872-7557</t>
  </si>
  <si>
    <t>SIGNAL, IMAGE AND VIDEO PROCESSING</t>
  </si>
  <si>
    <t>1863-1703/1863-1711</t>
  </si>
  <si>
    <t>0038-0121/1873-6041</t>
  </si>
  <si>
    <t>NA</t>
  </si>
  <si>
    <t>C</t>
  </si>
  <si>
    <t>WIRELESS COMMUNICATIONS AND MOBILE COMPUTING</t>
  </si>
  <si>
    <t>1530-8669/1530-8677</t>
  </si>
  <si>
    <t>2359-3997/2359-4292</t>
  </si>
  <si>
    <t>B5</t>
  </si>
  <si>
    <t>0164-1212</t>
  </si>
  <si>
    <t>Ponto</t>
  </si>
  <si>
    <t>Periódicos - Geral</t>
  </si>
  <si>
    <t>Periódicos - Restrito</t>
  </si>
  <si>
    <t>Conferências - Geral</t>
  </si>
  <si>
    <t>Conferências - Restrito</t>
  </si>
  <si>
    <t>Fluxo discentes</t>
  </si>
  <si>
    <t>2017</t>
  </si>
  <si>
    <t>2018</t>
  </si>
  <si>
    <t>2019</t>
  </si>
  <si>
    <t>2020</t>
  </si>
  <si>
    <t>Total</t>
  </si>
  <si>
    <t>(All)</t>
  </si>
  <si>
    <t>Matriculados</t>
  </si>
  <si>
    <t>Titulados</t>
  </si>
  <si>
    <t>Row Labels</t>
  </si>
  <si>
    <t>Count of Qualis</t>
  </si>
  <si>
    <t>Qtd Per</t>
  </si>
  <si>
    <t>Qtd Per Rest</t>
  </si>
  <si>
    <t>Qtd Conf</t>
  </si>
  <si>
    <t>Qtd Conf Rest</t>
  </si>
  <si>
    <t>Total Discentes</t>
  </si>
  <si>
    <t>ADALBERTO MINEIRO DE ANDRADE</t>
  </si>
  <si>
    <t>ALAN RODRIGUES FONTOURA</t>
  </si>
  <si>
    <t>GUSTAVO ALEXANDRE SOUSA SANTOS</t>
  </si>
  <si>
    <t>AÍQUES RODRIGUES GOMES</t>
  </si>
  <si>
    <t>ARTHUR RONALD FERREIRA DIOGENES GARCIA</t>
  </si>
  <si>
    <t>Produção Discente</t>
  </si>
  <si>
    <t>JEFERSON COLARES DE PAULA</t>
  </si>
  <si>
    <t>DANIEL FERREIRA DE OLIVEIRA</t>
  </si>
  <si>
    <t>ALEXANDRE MARTINS DA CUNHA</t>
  </si>
  <si>
    <t>FLAVIO MATIAS DAMASCENO DE CARVALHO</t>
  </si>
  <si>
    <t>LEONARDO FERREIRA DOS SANTOS</t>
  </si>
  <si>
    <t>RAFAEL GUIMARÃES RODRIGUES</t>
  </si>
  <si>
    <t>GABRIEL NASCIMENTO DO SANTOS</t>
  </si>
  <si>
    <t>Conferências (geral)</t>
  </si>
  <si>
    <t>CARLOS ALBERTO MARTINS DE SOUZA TELES</t>
  </si>
  <si>
    <t>Conferências (restrito)</t>
  </si>
  <si>
    <t>RAPHAEL SILVA DE ABREU</t>
  </si>
  <si>
    <t>CARLOS ROBERTO GONÇALVES VIANA FILHO</t>
  </si>
  <si>
    <t>Periódicos (geral)</t>
  </si>
  <si>
    <t>CEDRIC MONTEIRO</t>
  </si>
  <si>
    <t>Periódicos (restrito)</t>
  </si>
  <si>
    <t>JOÃO ANTONIO FERREIRA</t>
  </si>
  <si>
    <t>Total (geral)</t>
  </si>
  <si>
    <t>ROBERTO DE CASTRO SOUZA PINTO</t>
  </si>
  <si>
    <t>DIEGO RODRIGUES MOREIRA TOTTE</t>
  </si>
  <si>
    <t>JORGE AUGUSTO GOMES DE BRITO</t>
  </si>
  <si>
    <t>Total (restrito)</t>
  </si>
  <si>
    <t>LEONARDO DA SILVA MOREIRA</t>
  </si>
  <si>
    <t>% (geral)</t>
  </si>
  <si>
    <t>FERNANDO PEREIRA GONÇALVES DE SÁ</t>
  </si>
  <si>
    <t>LEONARDO DE SOUZA PREUSS</t>
  </si>
  <si>
    <t>% (restrito)</t>
  </si>
  <si>
    <t>LUCIANA ESCOBAR GONÇALVES VIGNOLI</t>
  </si>
  <si>
    <t>FRANCIMARY PROCÓPIO GARCIA DE OLIVEIRA</t>
  </si>
  <si>
    <t>PPCIC</t>
  </si>
  <si>
    <t>Nível 3</t>
  </si>
  <si>
    <t>Nível 4</t>
  </si>
  <si>
    <t>Nível 5</t>
  </si>
  <si>
    <t>RAMON FERREIRA SILVA</t>
  </si>
  <si>
    <t xml:space="preserve">% Produção com Discentes (IG) </t>
  </si>
  <si>
    <t>% Produção com Discentes (IR)</t>
  </si>
  <si>
    <t>GUSTAVO PACHECO EPIFANIO</t>
  </si>
  <si>
    <t>Produção Docente</t>
  </si>
  <si>
    <t>RODRIGO TAVARES DE SOUZA</t>
  </si>
  <si>
    <t>Conferências</t>
  </si>
  <si>
    <t>THIAGO DA SILVA PEREIRA</t>
  </si>
  <si>
    <t>Q. 2017*</t>
  </si>
  <si>
    <t>Q. 2021</t>
  </si>
  <si>
    <t>Periódicos (IG)</t>
  </si>
  <si>
    <t>Periódicos (IR)</t>
  </si>
  <si>
    <t>Conferências (IG)</t>
  </si>
  <si>
    <t>Conferências (IR)</t>
  </si>
  <si>
    <t>Total (IG)</t>
  </si>
  <si>
    <t>RAPHAEL DO NASCIMENTO MARTINS</t>
  </si>
  <si>
    <t>Total (IR)</t>
  </si>
  <si>
    <t>Computação</t>
  </si>
  <si>
    <t>%</t>
  </si>
  <si>
    <t>Nome</t>
  </si>
  <si>
    <t>Google Scholar</t>
  </si>
  <si>
    <t>H-index</t>
  </si>
  <si>
    <t>https://scholar.google.com.br/citations?user=pBQVTUkAAAAJ</t>
  </si>
  <si>
    <t>https://scholar.google.com/citations?user=bwkYcu4AAAAJ&amp;hl=pt-BR</t>
  </si>
  <si>
    <t>https://scholar.google.com.br/citations?user=WQflRMIAAAAJ</t>
  </si>
  <si>
    <t>https://scholar.google.com.br/citations?user=uloLWtgAAAAJ</t>
  </si>
  <si>
    <t>Felipe da Rocha Henriques</t>
  </si>
  <si>
    <t>https://scholar.google.com.br/citations?user=kJT37q4AAAAJ</t>
  </si>
  <si>
    <t>https://scholar.google.com/citations?user=pNL2V2sAAAAJ</t>
  </si>
  <si>
    <t>https://scholar.google.com.br/citations?user=nZfS3qoAAAAJ</t>
  </si>
  <si>
    <t>https://scholar.google.com.br/citations?user=4AwT7X8AAAAJ</t>
  </si>
  <si>
    <t>https://scholar.google.com.br/citations?user=fYjzAYMAAAAJ</t>
  </si>
  <si>
    <t>https://scholar.google.com.br/citations?user=nz-6EN4AAAAJ</t>
  </si>
  <si>
    <t>https://scholar.google.com.br/citations?user=Fc2hY1AAAAAJ</t>
  </si>
  <si>
    <t>https://scholar.google.com.br/citations?user=IA70H1UAAAAJ</t>
  </si>
  <si>
    <t>https://scholar.google.com.br/citations?user=XF-fXTAAAAAJ</t>
  </si>
  <si>
    <t>https://scholar.google.com.br/citations?user=KLgK4c4AAAAJ</t>
  </si>
  <si>
    <t>https://www.scopus.com/authid/detail.uri?authorId=32867459900</t>
  </si>
  <si>
    <t>https://www.scopus.com/authid/detail.uri?authorId=57205767413</t>
  </si>
  <si>
    <t>https://www.scopus.com/authid/detail.uri?authorId=6506097045</t>
  </si>
  <si>
    <t>https://www.scopus.com/authid/detail.uri?authorId=33368211600</t>
  </si>
  <si>
    <t>https://www.scopus.com/authid/detail.uri?authorId=55953969800</t>
  </si>
  <si>
    <t>https://www.scopus.com/authid/detail.uri?authorId=57204646715</t>
  </si>
  <si>
    <t>https://www.scopus.com/authid/detail.uri?authorId=57076135000</t>
  </si>
  <si>
    <t>https://www.scopus.com/authid/detail.uri?authorId=56119522800</t>
  </si>
  <si>
    <t>https://www.scopus.com/authid/detail.uri?authorId=36175635600</t>
  </si>
  <si>
    <t>https://www.scopus.com/authid/detail.uri?authorId=56121141300</t>
  </si>
  <si>
    <t>https://www.scopus.com/authid/detail.uri?authorId=56019958100</t>
  </si>
  <si>
    <t>https://www.scopus.com/authid/detail.uri?authorId=6603959869</t>
  </si>
  <si>
    <t>https://www.scopus.com/authid/detail.uri?authorId=15753781000</t>
  </si>
  <si>
    <t>https://www.scopus.com/authid/detail.uri?authorId=56160998600</t>
  </si>
  <si>
    <t>ResearchID/Publons</t>
  </si>
  <si>
    <t>http://www.researcherid.com/rid/P-4281-2016</t>
  </si>
  <si>
    <t>https://publons.com/researcher/5118168/diogo-silveira-mendonca</t>
  </si>
  <si>
    <t>http://www.researcherid.com/rid/H-2402-2018</t>
  </si>
  <si>
    <t>http://www.researcherid.com/rid/N-6438-2014</t>
  </si>
  <si>
    <t>http://www.researcherid.com/rid/AAC-4169-2019</t>
  </si>
  <si>
    <t>https://publons.com/researcher/V-2663-2018/</t>
  </si>
  <si>
    <t>http://www.researcherid.com/rid/H-3227-2018</t>
  </si>
  <si>
    <t>http://www.researcherid.com/rid/O-8069-2016</t>
  </si>
  <si>
    <t>http://www.researcherid.com/rid/O-6246-2016</t>
  </si>
  <si>
    <t>http://www.researcherid.com/rid/A-5553-2018</t>
  </si>
  <si>
    <t>http://www.researcherid.com/rid/H-3218-2018</t>
  </si>
  <si>
    <t>http://www.researcherid.com/rid/O-3981-2018</t>
  </si>
  <si>
    <t>http://www.researcherid.com/rid/F-6102-2015</t>
  </si>
  <si>
    <t>http://www.researcherid.com/rid/Q-4514-2017</t>
  </si>
  <si>
    <t>NOME</t>
  </si>
  <si>
    <t>SITUAÇÃO</t>
  </si>
  <si>
    <t>ATUALIZADO EM:</t>
  </si>
  <si>
    <t>ABEL SOARES DE QUEIROZ JUNIOR</t>
  </si>
  <si>
    <t>Desligado</t>
  </si>
  <si>
    <t>Formado</t>
  </si>
  <si>
    <t>ADRIELE CELINA SILVA DE MEDEIROS RIBEIRO</t>
  </si>
  <si>
    <t>ALEXANDER BARROS DA SILVA</t>
  </si>
  <si>
    <t>Ativo</t>
  </si>
  <si>
    <t>ALEXANDRE EMILIO MANHÃES PARDELINHA</t>
  </si>
  <si>
    <t>ANA ELISA DO NASCIMENTO BRAZ</t>
  </si>
  <si>
    <t>ANDERSON DE FARIA PINTO</t>
  </si>
  <si>
    <t>ANDERSON NASCIMENTO MANHÃES</t>
  </si>
  <si>
    <t>ANDRÉ CARLOS TEIXEIRA VASCONCELOS</t>
  </si>
  <si>
    <t>ANDRÉ LUÍS NUNES</t>
  </si>
  <si>
    <t>ANDREA CARLA VARGAS RODRIGUES</t>
  </si>
  <si>
    <t>ANGELLICA CARDOSO DE ARAUJO</t>
  </si>
  <si>
    <t>ARTHUR SILVEIRA</t>
  </si>
  <si>
    <t>AUGUSTO MAGALHÃES PINTO DE MENDONÇA</t>
  </si>
  <si>
    <t>BRUNO DAS NEVES CUSTÓDIO</t>
  </si>
  <si>
    <t>CAROLINA ZAMITH CUNHA</t>
  </si>
  <si>
    <t>DAVI BORTOLOTTI BATISTA</t>
  </si>
  <si>
    <t>DIEGO GUIMARAES PEREIRA</t>
  </si>
  <si>
    <t>DIEGO SILVA DE SALLES</t>
  </si>
  <si>
    <t>EDUARDO PRIMO DE SOUZA</t>
  </si>
  <si>
    <t>ÉRICA CARNEIRO QUEIROZ DA SILVA</t>
  </si>
  <si>
    <t>FELIPE DE AVILA TAVARES</t>
  </si>
  <si>
    <t>FELIPE DE PAULA NOBREGA SENA DA SILVA</t>
  </si>
  <si>
    <t>FELIPE MELLO FONSECA</t>
  </si>
  <si>
    <t>FLAVIO PINHEIRO MARQUES</t>
  </si>
  <si>
    <t>GABRIEL EDUARDO FEITOSA LIMA</t>
  </si>
  <si>
    <t>GABRIELLE DA SILVA PEREIRA</t>
  </si>
  <si>
    <t>IRAN DE ALVARENGA CIDADE</t>
  </si>
  <si>
    <t>IVAIR NOBREGA LUQUES</t>
  </si>
  <si>
    <t>IVSON GONÇALVES DA SILVA</t>
  </si>
  <si>
    <t>JOÃO VICTOR GUINELLI DA SILVA</t>
  </si>
  <si>
    <t>JORGE EUGENIO MEDEIROS ANSELMO</t>
  </si>
  <si>
    <t>KARINA BRANDÃO CANDIDO DA SILVA</t>
  </si>
  <si>
    <t>LEANDRO DE SOUZA LIMA CHERNICHARO</t>
  </si>
  <si>
    <t>LEON VICTOR MEDEIROS DE LIMA</t>
  </si>
  <si>
    <t>LISS DE FATIMA FRANCOISE MOREIRA GRILLO FAULHABER</t>
  </si>
  <si>
    <t>LUCAS FERREIRA PINHEIRO</t>
  </si>
  <si>
    <t>LUCAS VITAL MOREIRA</t>
  </si>
  <si>
    <t>LUIS BARBOSA DE ASSIS JUNIOR</t>
  </si>
  <si>
    <t>LUIS CARLOS RAMOS ALVARENGA</t>
  </si>
  <si>
    <t>LUIZ AUGUSTO DE SOUZA PERCILIANO</t>
  </si>
  <si>
    <t>LUIZ GUSTAVO MILFONT PEREIRA</t>
  </si>
  <si>
    <t>LUIZ VITOR TAVARES VAZ FERREIRA</t>
  </si>
  <si>
    <t>MANOEL GUILHERME DE FARIA MORAES</t>
  </si>
  <si>
    <t>MARCELLO ALBERTO SOARES SERQUEIRA</t>
  </si>
  <si>
    <t>MARCELO LUÍS MOREIRA</t>
  </si>
  <si>
    <t>MARCIO LOPES GONZALEZ</t>
  </si>
  <si>
    <t>MATEUS DO AMOR DEVINO PEREIRA</t>
  </si>
  <si>
    <t>MICHEL MORAIS FERREIRA</t>
  </si>
  <si>
    <t>NADINNE GUIMARAES HOLANDA</t>
  </si>
  <si>
    <t>NATÁLIA NUNES VIEIRA</t>
  </si>
  <si>
    <t>PAULO JOSÉ DE CASTRO PESTANA JUNIOR</t>
  </si>
  <si>
    <t>PEDRO FONTES MONTANO</t>
  </si>
  <si>
    <t>RAFAEL ASSIS MELLO PEREIRA DIAS</t>
  </si>
  <si>
    <t>RAPHAEL CORREIA DE SOUZA FIALHO</t>
  </si>
  <si>
    <t>RAPHAEL DANTAS DE OLIVEIRA PEREIRA</t>
  </si>
  <si>
    <t>RAPHAEL DO NASCIMENTO MARTNS</t>
  </si>
  <si>
    <t>RENATA FONSECA DA SILVA</t>
  </si>
  <si>
    <t>RIBAMAR SANTOS FERREIRA MATIAS</t>
  </si>
  <si>
    <t>RICARDO LUIZ PEREIRA MACEIRA</t>
  </si>
  <si>
    <t>ROBERTO DA SILVA GERVASIO PONTES</t>
  </si>
  <si>
    <t>RODRIGO PEREIRA HAMACHER</t>
  </si>
  <si>
    <t>RYAN DUTRA DE ABREU</t>
  </si>
  <si>
    <t>SARAH RIBEIRO LISBOA CARNEIRO</t>
  </si>
  <si>
    <t>SÉRGIO LUIZ MOORE JUNIOR</t>
  </si>
  <si>
    <t>SIDICLEY GONÇALVES BARBOSA</t>
  </si>
  <si>
    <t>SIDNEY BASTOS PEREIRA MOTTA</t>
  </si>
  <si>
    <t>SOLANGE SANTOLIN</t>
  </si>
  <si>
    <t>TACITO BRAGA ARARIPE</t>
  </si>
  <si>
    <t>THIAGO BARRAL FERNANDES REIS</t>
  </si>
  <si>
    <t>THIAGO SOARES DE PAULA</t>
  </si>
  <si>
    <t>URIEL MEROLA MINAGÉ E SILVA</t>
  </si>
  <si>
    <t>VINICIUS DOS SANTOS VANCELLOTE ALMEIDA</t>
  </si>
  <si>
    <t>VINICIUS SOARES DOS SANTOS</t>
  </si>
  <si>
    <t>WELLINGTON SOUZA AMARAL</t>
  </si>
  <si>
    <t>WILLIAN PITTER CARDOSO LIMA</t>
  </si>
  <si>
    <t>WILSON PAZ DA SILVA</t>
  </si>
  <si>
    <t>WLADIMIR WANDERLEY PEREIRA</t>
  </si>
  <si>
    <t>ANOS</t>
  </si>
  <si>
    <t>Permanente</t>
  </si>
  <si>
    <t xml:space="preserve">2016 - </t>
  </si>
  <si>
    <t>2016 - 2021</t>
  </si>
  <si>
    <t>Colaborador</t>
  </si>
  <si>
    <t xml:space="preserve">2021 - </t>
  </si>
  <si>
    <t xml:space="preserve">2020 - </t>
  </si>
  <si>
    <t>João Quadros</t>
  </si>
  <si>
    <t>Joel Santos</t>
  </si>
  <si>
    <t>Laura Assis</t>
  </si>
  <si>
    <t>Leonardo Lima</t>
  </si>
  <si>
    <t xml:space="preserve">2019 - </t>
  </si>
  <si>
    <t>Raphael Machado</t>
  </si>
  <si>
    <t>2016 - 2020</t>
  </si>
  <si>
    <t>2017-2020</t>
  </si>
  <si>
    <t>Peródicos</t>
  </si>
  <si>
    <t>Eventos</t>
  </si>
  <si>
    <t>TOTAL</t>
  </si>
  <si>
    <t>CONF</t>
  </si>
  <si>
    <t>COM/DISC</t>
  </si>
  <si>
    <t>COM DISCENTE</t>
  </si>
  <si>
    <t>Índice Restrito</t>
  </si>
  <si>
    <t>--leonardo (maio)   --haddad (dezembro)</t>
  </si>
  <si>
    <t>++ glauco (fevereiro)</t>
  </si>
  <si>
    <t>IRestrito
/docente/ano</t>
  </si>
  <si>
    <t>++ diogo</t>
  </si>
  <si>
    <t>Entrada</t>
  </si>
  <si>
    <t>Formados (ano)</t>
  </si>
  <si>
    <t>Ativos
(ano)</t>
  </si>
  <si>
    <t>Entrada
/docente</t>
  </si>
  <si>
    <t>Desligados</t>
  </si>
  <si>
    <t>Formados
/docente</t>
  </si>
  <si>
    <t>Ativos
/docente</t>
  </si>
  <si>
    <t>Plano</t>
  </si>
  <si>
    <t>Real</t>
  </si>
  <si>
    <t>REBECCA PONTES SALLES; LUCIANA ESCOBAR</t>
  </si>
  <si>
    <t>Facile synthesis of transition metal (M = Cu, Co) oxide grafted graphitic carbon nitride nanosheets for high performance asymmetric supercapacitors</t>
  </si>
  <si>
    <t>MATERIALS LETTERS</t>
  </si>
  <si>
    <t>FLAVIO CARVALHO</t>
  </si>
  <si>
    <t>JÉSSICA DA SILVA COSTA; MATEUS DEVINO</t>
  </si>
  <si>
    <t>CRISTIANE GEA; JANIO LIMA</t>
  </si>
  <si>
    <t>JANIO DE SOUZA LIMA; REBECCA PONTES SALLES</t>
  </si>
  <si>
    <t>HELDER YUKIO OKUNO; FLAVIO CARVALHO</t>
  </si>
  <si>
    <t>ANDERSON ROCHA</t>
  </si>
  <si>
    <t>A review of ontology-based approaches for sentiment analysis: possible improvements on the brazilian affective computing scenario</t>
  </si>
  <si>
    <t>Sistema para Coleta de Dados Comportamentais de Pacientes com Transtorno do Espectro Autista</t>
  </si>
  <si>
    <t>Evaluating machine learning models for essential protein identification</t>
  </si>
  <si>
    <t>Comparison of machine learning pipelines for gene expression matrices</t>
  </si>
  <si>
    <t>PROBLEMA DO NÍVEL DE SERVIÇO NA LOCALIZAÇÃO DE BASES DE VEÍCULOS DE RESGATE</t>
  </si>
  <si>
    <t>Towards Robust Cluster-Based Hyperparameter Optimization</t>
  </si>
  <si>
    <t>Towards a cloud-based framework for online and integrated event detection</t>
  </si>
  <si>
    <t>LIMA, JANIO ; SALLES, REBECCA ; ESCOBAR, LUCIANA ; GÉA, CRISTIANE ; FERNANDES, PEDRO ALPIS</t>
  </si>
  <si>
    <t>Long-Term Person Reidentification: Challenges and Outlook</t>
  </si>
  <si>
    <t>International Conference on Optimization</t>
  </si>
  <si>
    <t>MANHAES, A. ; COLARES, J.</t>
  </si>
  <si>
    <t>Uma avaliação da relação entre o desempenho de jogadores e a atratividade de jogos educacionais</t>
  </si>
  <si>
    <t>Machine learning: new approach to identify olive-tree cultivars</t>
  </si>
  <si>
    <t>An Approach for Sensory Effects Dispersion Simulation with Computational Fluid Dynamics</t>
  </si>
  <si>
    <t>O Discurso de Ódio Homofóbico no Twitter a partir da Análise de Dados</t>
  </si>
  <si>
    <t>A Data-Driven Model Selection Approach to Spatio-Temporal Prediction</t>
  </si>
  <si>
    <t>A Genetic Algorithm with Flexible Fitness Function for Feature Selection in Educational Data: Comparative Evaluation</t>
  </si>
  <si>
    <t>MACHINES</t>
  </si>
  <si>
    <t>2075-1702</t>
  </si>
  <si>
    <t>0167-577X</t>
  </si>
  <si>
    <t>PER</t>
  </si>
  <si>
    <t>Memetic algorithm applied to topology control optimization of a wireless sensor network</t>
  </si>
  <si>
    <t>DE BRITO, JORGE A. G. ; TOTTE, DIEGO R. M.</t>
  </si>
  <si>
    <t>1572-8196</t>
  </si>
  <si>
    <t>WIRELESS NETWORKS (ONLINE)</t>
  </si>
  <si>
    <t>DETECÇÃO E DESCARTE DE ERROS GROSSEIROS OBTIDOS NA ESTIMAÇÃO DE ESTADO EM LINHAS DE TRANSMISSÃO</t>
  </si>
  <si>
    <t>REVISTA DE ENGENHARIA E TECNOLOGIA</t>
  </si>
  <si>
    <t>2176-7270</t>
  </si>
  <si>
    <t>Digital Twins-Based Self-Regulation System for Instrumentation Networks in IoT Applications</t>
  </si>
  <si>
    <t>Ferramenta lúdica de ensino de disciplinas de exatas para nível médio: exemplo do uso do Cubo de Rubik em sala de aula para aprendizado de programação e matemática</t>
  </si>
  <si>
    <t>BRAZILIAN JOURNAL OF DEVELOPMENT</t>
  </si>
  <si>
    <t>Applying Gestalt approach as a method for teaching computer science practice in the classroom: A case study in primary schools in Brazil</t>
  </si>
  <si>
    <t>EDUCATION AND INFORMATION TECHNOLOGIES</t>
  </si>
  <si>
    <t>1360-2357</t>
  </si>
  <si>
    <t>VASCONCELOS, ANDRÉ ; MONSORES, JOMAR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</si>
</sst>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rgb="FF000000"/>
      <name val="Century Gothic"/>
      <family val="1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0" fontId="6" fillId="0" borderId="2" xfId="0" applyFont="1" applyBorder="1"/>
    <xf numFmtId="0" fontId="7" fillId="2" borderId="2" xfId="0" applyFont="1" applyFill="1" applyBorder="1"/>
    <xf numFmtId="2" fontId="7" fillId="2" borderId="2" xfId="0" applyNumberFormat="1" applyFont="1" applyFill="1" applyBorder="1"/>
    <xf numFmtId="1" fontId="0" fillId="0" borderId="0" xfId="0" applyNumberFormat="1"/>
    <xf numFmtId="1" fontId="6" fillId="0" borderId="2" xfId="0" applyNumberFormat="1" applyFont="1" applyBorder="1"/>
    <xf numFmtId="0" fontId="7" fillId="2" borderId="0" xfId="0" applyFont="1" applyFill="1"/>
    <xf numFmtId="0" fontId="7" fillId="0" borderId="2" xfId="0" applyFont="1" applyBorder="1"/>
    <xf numFmtId="164" fontId="0" fillId="0" borderId="0" xfId="0" applyNumberFormat="1"/>
    <xf numFmtId="2" fontId="7" fillId="0" borderId="0" xfId="0" applyNumberFormat="1" applyFont="1" applyAlignment="1">
      <alignment horizontal="right" vertical="center"/>
    </xf>
    <xf numFmtId="2" fontId="7" fillId="2" borderId="0" xfId="0" applyNumberFormat="1" applyFont="1" applyFill="1" applyAlignment="1">
      <alignment horizontal="right" vertical="center"/>
    </xf>
    <xf numFmtId="2" fontId="7" fillId="2" borderId="0" xfId="0" applyNumberFormat="1" applyFont="1" applyFill="1"/>
    <xf numFmtId="0" fontId="7" fillId="0" borderId="3" xfId="0" applyFont="1" applyBorder="1"/>
    <xf numFmtId="2" fontId="7" fillId="0" borderId="3" xfId="0" applyNumberFormat="1" applyFont="1" applyBorder="1"/>
    <xf numFmtId="2" fontId="6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10" fillId="0" borderId="0" xfId="13" applyNumberFormat="1" applyFont="1"/>
    <xf numFmtId="49" fontId="0" fillId="0" borderId="0" xfId="0" applyNumberFormat="1"/>
    <xf numFmtId="49" fontId="2" fillId="0" borderId="0" xfId="13" applyNumberFormat="1"/>
    <xf numFmtId="0" fontId="7" fillId="0" borderId="1" xfId="0" applyFont="1" applyBorder="1"/>
    <xf numFmtId="2" fontId="7" fillId="0" borderId="1" xfId="0" applyNumberFormat="1" applyFont="1" applyBorder="1" applyAlignment="1">
      <alignment horizontal="right" vertical="center"/>
    </xf>
    <xf numFmtId="2" fontId="11" fillId="2" borderId="0" xfId="0" applyNumberFormat="1" applyFont="1" applyFill="1"/>
    <xf numFmtId="2" fontId="11" fillId="0" borderId="0" xfId="0" applyNumberFormat="1" applyFont="1"/>
    <xf numFmtId="2" fontId="11" fillId="0" borderId="1" xfId="0" applyNumberFormat="1" applyFont="1" applyBorder="1"/>
    <xf numFmtId="2" fontId="11" fillId="0" borderId="2" xfId="0" applyNumberFormat="1" applyFont="1" applyBorder="1" applyAlignment="1">
      <alignment textRotation="90"/>
    </xf>
    <xf numFmtId="2" fontId="11" fillId="2" borderId="0" xfId="0" applyNumberFormat="1" applyFont="1" applyFill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/>
    <xf numFmtId="2" fontId="11" fillId="0" borderId="2" xfId="0" applyNumberFormat="1" applyFont="1" applyBorder="1" applyAlignment="1">
      <alignment textRotation="90" wrapText="1"/>
    </xf>
    <xf numFmtId="165" fontId="0" fillId="0" borderId="0" xfId="0" applyNumberFormat="1"/>
    <xf numFmtId="1" fontId="13" fillId="0" borderId="0" xfId="14" applyNumberFormat="1" applyFont="1" applyBorder="1"/>
    <xf numFmtId="1" fontId="13" fillId="2" borderId="0" xfId="14" applyNumberFormat="1" applyFont="1" applyFill="1" applyBorder="1"/>
    <xf numFmtId="1" fontId="1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4" fillId="0" borderId="2" xfId="0" applyFont="1" applyBorder="1"/>
    <xf numFmtId="0" fontId="13" fillId="2" borderId="2" xfId="0" applyFont="1" applyFill="1" applyBorder="1"/>
    <xf numFmtId="164" fontId="13" fillId="2" borderId="2" xfId="0" applyNumberFormat="1" applyFont="1" applyFill="1" applyBorder="1"/>
    <xf numFmtId="0" fontId="13" fillId="0" borderId="0" xfId="0" applyFont="1"/>
    <xf numFmtId="164" fontId="13" fillId="0" borderId="0" xfId="0" applyNumberFormat="1" applyFont="1"/>
    <xf numFmtId="0" fontId="13" fillId="2" borderId="0" xfId="0" applyFont="1" applyFill="1"/>
    <xf numFmtId="164" fontId="13" fillId="2" borderId="0" xfId="0" applyNumberFormat="1" applyFont="1" applyFill="1"/>
    <xf numFmtId="0" fontId="13" fillId="0" borderId="1" xfId="0" applyFont="1" applyBorder="1"/>
    <xf numFmtId="164" fontId="13" fillId="0" borderId="1" xfId="0" applyNumberFormat="1" applyFont="1" applyBorder="1"/>
    <xf numFmtId="1" fontId="14" fillId="0" borderId="4" xfId="0" applyNumberFormat="1" applyFont="1" applyBorder="1" applyAlignment="1">
      <alignment horizontal="center"/>
    </xf>
    <xf numFmtId="0" fontId="15" fillId="2" borderId="2" xfId="0" applyFont="1" applyFill="1" applyBorder="1"/>
    <xf numFmtId="0" fontId="15" fillId="0" borderId="0" xfId="0" applyFont="1"/>
    <xf numFmtId="0" fontId="15" fillId="2" borderId="0" xfId="0" applyFont="1" applyFill="1"/>
    <xf numFmtId="9" fontId="13" fillId="0" borderId="0" xfId="14" applyFont="1" applyBorder="1"/>
    <xf numFmtId="0" fontId="15" fillId="2" borderId="1" xfId="0" applyFont="1" applyFill="1" applyBorder="1"/>
    <xf numFmtId="9" fontId="13" fillId="2" borderId="1" xfId="14" applyFont="1" applyFill="1" applyBorder="1"/>
    <xf numFmtId="1" fontId="14" fillId="0" borderId="2" xfId="0" applyNumberFormat="1" applyFont="1" applyBorder="1" applyAlignment="1">
      <alignment horizontal="center"/>
    </xf>
    <xf numFmtId="0" fontId="15" fillId="0" borderId="1" xfId="0" applyFont="1" applyBorder="1"/>
    <xf numFmtId="1" fontId="13" fillId="0" borderId="1" xfId="14" applyNumberFormat="1" applyFont="1" applyBorder="1"/>
    <xf numFmtId="9" fontId="13" fillId="2" borderId="2" xfId="14" applyFont="1" applyFill="1" applyBorder="1"/>
    <xf numFmtId="9" fontId="13" fillId="0" borderId="1" xfId="14" applyFont="1" applyBorder="1"/>
    <xf numFmtId="1" fontId="15" fillId="0" borderId="0" xfId="0" applyNumberFormat="1" applyFont="1"/>
    <xf numFmtId="1" fontId="15" fillId="2" borderId="0" xfId="0" applyNumberFormat="1" applyFont="1" applyFill="1"/>
    <xf numFmtId="164" fontId="9" fillId="3" borderId="0" xfId="0" applyNumberFormat="1" applyFont="1" applyFill="1"/>
    <xf numFmtId="0" fontId="14" fillId="0" borderId="6" xfId="0" applyFont="1" applyBorder="1"/>
    <xf numFmtId="1" fontId="14" fillId="0" borderId="5" xfId="0" applyNumberFormat="1" applyFont="1" applyBorder="1" applyAlignment="1">
      <alignment horizontal="center"/>
    </xf>
    <xf numFmtId="1" fontId="14" fillId="0" borderId="2" xfId="0" applyNumberFormat="1" applyFont="1" applyBorder="1"/>
    <xf numFmtId="1" fontId="13" fillId="2" borderId="2" xfId="14" applyNumberFormat="1" applyFont="1" applyFill="1" applyBorder="1"/>
    <xf numFmtId="0" fontId="0" fillId="0" borderId="0" xfId="0" applyAlignment="1">
      <alignment horizontal="center"/>
    </xf>
    <xf numFmtId="0" fontId="0" fillId="4" borderId="0" xfId="0" applyFill="1"/>
    <xf numFmtId="1" fontId="0" fillId="4" borderId="0" xfId="0" applyNumberFormat="1" applyFill="1"/>
    <xf numFmtId="0" fontId="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" fontId="6" fillId="0" borderId="2" xfId="0" applyNumberFormat="1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" fontId="13" fillId="0" borderId="1" xfId="14" applyNumberFormat="1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20" fillId="6" borderId="0" xfId="0" applyFont="1" applyFill="1" applyAlignment="1">
      <alignment horizontal="center"/>
    </xf>
    <xf numFmtId="0" fontId="20" fillId="6" borderId="0" xfId="0" applyFont="1" applyFill="1" applyAlignment="1">
      <alignment horizontal="right"/>
    </xf>
    <xf numFmtId="14" fontId="5" fillId="0" borderId="0" xfId="0" applyNumberFormat="1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horizontal="center" vertical="center" textRotation="90"/>
    </xf>
    <xf numFmtId="2" fontId="0" fillId="0" borderId="0" xfId="0" applyNumberFormat="1" applyAlignment="1">
      <alignment horizontal="center" vertical="center" textRotation="90"/>
    </xf>
    <xf numFmtId="1" fontId="5" fillId="0" borderId="0" xfId="0" applyNumberFormat="1" applyFont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6" fillId="0" borderId="2" xfId="0" applyNumberFormat="1" applyFont="1" applyBorder="1" applyAlignment="1">
      <alignment horizontal="center" textRotation="90"/>
    </xf>
    <xf numFmtId="0" fontId="7" fillId="2" borderId="2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" fontId="7" fillId="2" borderId="2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9" fontId="0" fillId="0" borderId="0" xfId="14" applyFont="1"/>
    <xf numFmtId="2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0" xfId="0" quotePrefix="1" applyFill="1"/>
    <xf numFmtId="0" fontId="5" fillId="8" borderId="7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2" fontId="5" fillId="4" borderId="0" xfId="0" applyNumberFormat="1" applyFont="1" applyFill="1"/>
    <xf numFmtId="2" fontId="5" fillId="7" borderId="7" xfId="0" applyNumberFormat="1" applyFont="1" applyFill="1" applyBorder="1" applyAlignment="1">
      <alignment horizontal="center"/>
    </xf>
    <xf numFmtId="0" fontId="5" fillId="4" borderId="0" xfId="0" applyFont="1" applyFill="1"/>
    <xf numFmtId="2" fontId="24" fillId="8" borderId="0" xfId="0" applyNumberFormat="1" applyFont="1" applyFill="1" applyAlignment="1">
      <alignment horizontal="center" vertical="center" textRotation="90"/>
    </xf>
    <xf numFmtId="1" fontId="24" fillId="8" borderId="0" xfId="0" applyNumberFormat="1" applyFont="1" applyFill="1" applyAlignment="1">
      <alignment horizontal="center" vertical="center" textRotation="90"/>
    </xf>
    <xf numFmtId="2" fontId="17" fillId="8" borderId="0" xfId="0" applyNumberFormat="1" applyFont="1" applyFill="1"/>
    <xf numFmtId="1" fontId="17" fillId="8" borderId="0" xfId="0" applyNumberFormat="1" applyFont="1" applyFill="1"/>
    <xf numFmtId="0" fontId="24" fillId="8" borderId="0" xfId="0" applyFont="1" applyFill="1" applyAlignment="1">
      <alignment horizontal="center" vertical="center" textRotation="90"/>
    </xf>
    <xf numFmtId="0" fontId="17" fillId="8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3" fillId="0" borderId="0" xfId="0" applyFont="1"/>
    <xf numFmtId="0" fontId="5" fillId="8" borderId="0" xfId="0" applyFont="1" applyFill="1" applyAlignment="1">
      <alignment horizontal="center" vertical="center" textRotation="90"/>
    </xf>
    <xf numFmtId="2" fontId="5" fillId="8" borderId="0" xfId="0" applyNumberFormat="1" applyFont="1" applyFill="1" applyAlignment="1">
      <alignment horizontal="center" vertical="center" textRotation="90"/>
    </xf>
    <xf numFmtId="0" fontId="0" fillId="8" borderId="0" xfId="0" applyFill="1" applyAlignment="1">
      <alignment horizontal="center"/>
    </xf>
    <xf numFmtId="0" fontId="0" fillId="8" borderId="0" xfId="0" applyFill="1"/>
    <xf numFmtId="164" fontId="17" fillId="8" borderId="0" xfId="0" applyNumberFormat="1" applyFont="1" applyFill="1"/>
    <xf numFmtId="2" fontId="0" fillId="0" borderId="7" xfId="0" applyNumberFormat="1" applyBorder="1" applyAlignment="1">
      <alignment horizontal="center" vertical="center" textRotation="90"/>
    </xf>
    <xf numFmtId="0" fontId="0" fillId="7" borderId="0" xfId="0" applyFill="1"/>
    <xf numFmtId="0" fontId="0" fillId="7" borderId="0" xfId="0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1" fontId="17" fillId="8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9" fillId="8" borderId="0" xfId="0" applyFont="1" applyFill="1" applyAlignment="1">
      <alignment horizontal="center"/>
    </xf>
    <xf numFmtId="9" fontId="0" fillId="0" borderId="0" xfId="14" applyFont="1" applyAlignment="1">
      <alignment horizontal="center"/>
    </xf>
    <xf numFmtId="0" fontId="0" fillId="4" borderId="0" xfId="0" applyFill="1" applyAlignment="1">
      <alignment horizontal="center"/>
    </xf>
    <xf numFmtId="9" fontId="0" fillId="8" borderId="7" xfId="14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wrapText="1"/>
    </xf>
  </cellXfs>
  <cellStyles count="15">
    <cellStyle name="Hiperlink" xfId="11" builtinId="8" hidden="1"/>
    <cellStyle name="Hiperlink" xfId="9" builtinId="8" hidden="1"/>
    <cellStyle name="Hiperlink" xfId="3" builtinId="8" hidden="1"/>
    <cellStyle name="Hiperlink" xfId="1" builtinId="8" hidden="1"/>
    <cellStyle name="Hiperlink" xfId="7" builtinId="8" hidden="1"/>
    <cellStyle name="Hiperlink" xfId="5" builtinId="8" hidden="1"/>
    <cellStyle name="Hiperlink" xfId="13" builtinId="8"/>
    <cellStyle name="Hiperlink Visitado" xfId="12" builtinId="9" hidden="1"/>
    <cellStyle name="Hiperlink Visitado" xfId="2" builtinId="9" hidden="1"/>
    <cellStyle name="Hiperlink Visitado" xfId="8" builtinId="9" hidden="1"/>
    <cellStyle name="Hiperlink Visitado" xfId="6" builtinId="9" hidden="1"/>
    <cellStyle name="Hiperlink Visitado" xfId="4" builtinId="9" hidden="1"/>
    <cellStyle name="Hiperlink Visitado" xfId="10" builtinId="9" hidden="1"/>
    <cellStyle name="Normal" xfId="0" builtinId="0"/>
    <cellStyle name="Porcentagem" xfId="14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Planejamento!$AB$3</c:f>
              <c:strCache>
                <c:ptCount val="1"/>
                <c:pt idx="0">
                  <c:v>Peródicos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Planejamento!$AA$4:$AA$12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Planejamento!$AB$4:$AB$12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4-664F-A904-C9F07482F99B}"/>
            </c:ext>
          </c:extLst>
        </c:ser>
        <c:ser>
          <c:idx val="1"/>
          <c:order val="1"/>
          <c:tx>
            <c:strRef>
              <c:f>Planejamento!$AC$3</c:f>
              <c:strCache>
                <c:ptCount val="1"/>
                <c:pt idx="0">
                  <c:v>Eventos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Planejamento!$AA$4:$AA$12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Planejamento!$AC$4:$AC$12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4-664F-A904-C9F07482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19040"/>
        <c:axId val="670319368"/>
      </c:barChart>
      <c:catAx>
        <c:axId val="6703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19368"/>
        <c:crosses val="autoZero"/>
        <c:auto val="1"/>
        <c:lblAlgn val="ctr"/>
        <c:lblOffset val="100"/>
        <c:noMultiLvlLbl val="0"/>
      </c:catAx>
      <c:valAx>
        <c:axId val="6703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Planejamento!$AB$3</c:f>
              <c:strCache>
                <c:ptCount val="1"/>
                <c:pt idx="0">
                  <c:v>Peródicos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Planejamento!$AA$19:$AA$27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Planejamento!$AB$19:$AB$27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2-7341-8BBD-81AEA5C29560}"/>
            </c:ext>
          </c:extLst>
        </c:ser>
        <c:ser>
          <c:idx val="1"/>
          <c:order val="1"/>
          <c:tx>
            <c:strRef>
              <c:f>Planejamento!$AC$3</c:f>
              <c:strCache>
                <c:ptCount val="1"/>
                <c:pt idx="0">
                  <c:v>Eventos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Planejamento!$AA$19:$AA$27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NA</c:v>
                </c:pt>
              </c:strCache>
            </c:strRef>
          </c:cat>
          <c:val>
            <c:numRef>
              <c:f>Planejamento!$AC$19:$AC$27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2-7341-8BBD-81AEA5C2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19040"/>
        <c:axId val="670319368"/>
      </c:barChart>
      <c:catAx>
        <c:axId val="6703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19368"/>
        <c:crosses val="autoZero"/>
        <c:auto val="1"/>
        <c:lblAlgn val="ctr"/>
        <c:lblOffset val="100"/>
        <c:noMultiLvlLbl val="0"/>
      </c:catAx>
      <c:valAx>
        <c:axId val="6703193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428625</xdr:colOff>
      <xdr:row>1</xdr:row>
      <xdr:rowOff>84365</xdr:rowOff>
    </xdr:from>
    <xdr:to>
      <xdr:col>34</xdr:col>
      <xdr:colOff>782410</xdr:colOff>
      <xdr:row>14</xdr:row>
      <xdr:rowOff>174172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FB331-8EB1-4A4A-890F-DD5AEDF81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15</xdr:row>
      <xdr:rowOff>136071</xdr:rowOff>
    </xdr:from>
    <xdr:to>
      <xdr:col>34</xdr:col>
      <xdr:colOff>734785</xdr:colOff>
      <xdr:row>29</xdr:row>
      <xdr:rowOff>21771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5DF5BE-8FD0-8A4C-A349-FF604D06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UARDO BEZERRA DA SILVA" id="{7ADF097D-DDA5-46A4-8219-02E316BAD2ED}" userId="EDUARDO BEZERRA DA SILVA" providerId="None"/>
  <person displayName="EDUARDO BEZERRA DA SILVA" id="{00CEBA5B-A202-4F40-8400-D6A97160F961}" userId="S::02848884789@cefet-rj.br::c03d6068-4733-48a6-bbb4-aa78f351d9c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Ogasawara" refreshedDate="44274.116313541665" createdVersion="6" refreshedVersion="6" minRefreshableVersion="3" recordCount="72" xr:uid="{450CF8CD-E582-4B29-B389-D8EE2A524A9D}">
  <cacheSource type="worksheet">
    <worksheetSource ref="A1:H1" sheet="Periodicos"/>
  </cacheSource>
  <cacheFields count="8">
    <cacheField name="Ano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Numero" numFmtId="0">
      <sharedItems containsSemiMixedTypes="0" containsString="0" containsNumber="1" containsInteger="1" minValue="-10" maxValue="27"/>
    </cacheField>
    <cacheField name="Artigo" numFmtId="0">
      <sharedItems/>
    </cacheField>
    <cacheField name="Fórum" numFmtId="0">
      <sharedItems/>
    </cacheField>
    <cacheField name="Discente" numFmtId="0">
      <sharedItems containsBlank="1" count="13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numFmtId="0">
      <sharedItems/>
    </cacheField>
    <cacheField name="Área" numFmtId="0">
      <sharedItems containsSemiMixedTypes="0" containsString="0" containsNumber="1" containsInteger="1" minValue="0" maxValue="1"/>
    </cacheField>
    <cacheField name="Restrito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Ogasawara" refreshedDate="44274.119500115739" createdVersion="6" refreshedVersion="6" minRefreshableVersion="3" recordCount="169" xr:uid="{5ECD9C79-0CB4-45DD-B94A-99513FC3BC51}">
  <cacheSource type="worksheet">
    <worksheetSource ref="A1:H1" sheet="Conferencias"/>
  </cacheSource>
  <cacheFields count="8">
    <cacheField name="Ano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Numero" numFmtId="0">
      <sharedItems containsSemiMixedTypes="0" containsString="0" containsNumber="1" containsInteger="1" minValue="1" maxValue="64"/>
    </cacheField>
    <cacheField name="Artigo" numFmtId="0">
      <sharedItems/>
    </cacheField>
    <cacheField name="Fórum" numFmtId="0">
      <sharedItems/>
    </cacheField>
    <cacheField name="Discente" numFmtId="0">
      <sharedItems containsBlank="1" count="39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numFmtId="0">
      <sharedItems/>
    </cacheField>
    <cacheField name="Área" numFmtId="0">
      <sharedItems containsSemiMixedTypes="0" containsString="0" containsNumber="1" containsInteger="1" minValue="0" maxValue="1"/>
    </cacheField>
    <cacheField name="Restrit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1"/>
    <s v="Using Abstract Anchors to Aid The Development of Multimedia Applications With Sensory Effects"/>
    <s v="ACM SIGWEB International Symposium on Document Engineering"/>
    <x v="0"/>
    <s v="B1"/>
    <n v="1"/>
    <x v="0"/>
  </r>
  <r>
    <x v="0"/>
    <n v="2"/>
    <s v="Using Abstract Anchors for Automatic Authoring of Sensory Effects Based on Ambient Sound Recognition"/>
    <s v="Brazilian Symposium on Multimedia and the Web"/>
    <x v="0"/>
    <s v="A4"/>
    <n v="1"/>
    <x v="1"/>
  </r>
  <r>
    <x v="0"/>
    <n v="3"/>
    <s v="A note on two conjectures relating the independence number and spectral radius of the signless Laplacian matrix of a graph"/>
    <s v="Congresso Nacional de Matemática Aplicada e Computacional"/>
    <x v="1"/>
    <s v="B3"/>
    <n v="1"/>
    <x v="0"/>
  </r>
  <r>
    <x v="0"/>
    <n v="4"/>
    <s v="Marca d?água Estruturada"/>
    <s v="Simpósio Brasileiro em Segurança da Informação e de Sistemas Computacionais"/>
    <x v="1"/>
    <s v="B1"/>
    <n v="1"/>
    <x v="0"/>
  </r>
  <r>
    <x v="0"/>
    <n v="5"/>
    <s v="Sistema Computacional de Monitoramento de Qualidade de Água baseado em Arduino"/>
    <s v="Escola Regional de Sistemas de Informação do Rio de Janeiro"/>
    <x v="1"/>
    <s v="NI"/>
    <n v="0"/>
    <x v="0"/>
  </r>
  <r>
    <x v="0"/>
    <n v="6"/>
    <s v="Tuning up TVD HOPMOC method on Intel MIC Xeon Phi Architectures with Intel Parallel Studio Tools "/>
    <s v="Workshop on Applications for Multi-Core Architectures"/>
    <x v="1"/>
    <s v="B4"/>
    <n v="1"/>
    <x v="0"/>
  </r>
  <r>
    <x v="0"/>
    <n v="7"/>
    <s v="Night Sleep Deprivation: Computational Analysis of Language Effects"/>
    <s v="Brazilian Symposium on Multimedia and the Web"/>
    <x v="2"/>
    <s v="A4"/>
    <n v="1"/>
    <x v="1"/>
  </r>
  <r>
    <x v="0"/>
    <n v="8"/>
    <s v="Uma Revisão Sistemática sobre Léxicos Afetivos para o Português do Brasil"/>
    <s v="Congreso Internacional de Informática Educativa"/>
    <x v="3"/>
    <s v="B4"/>
    <n v="1"/>
    <x v="0"/>
  </r>
  <r>
    <x v="0"/>
    <n v="9"/>
    <s v="Uma Proposta de Implementação de Álgebra de Workflows em Apache Spark no Apoio a Processos de Análise de Dados"/>
    <s v="Brazilian e-Science Workshop"/>
    <x v="4"/>
    <s v="B4"/>
    <n v="1"/>
    <x v="0"/>
  </r>
  <r>
    <x v="0"/>
    <n v="10"/>
    <s v="Efficiently Computing Geometric Composition Patterns in Big Data"/>
    <s v="Concurso de Teses e Dissertações"/>
    <x v="1"/>
    <s v="NI"/>
    <n v="0"/>
    <x v="0"/>
  </r>
  <r>
    <x v="0"/>
    <n v="11"/>
    <s v="Pre-processing and Indexing techniques in Constellation Queries"/>
    <s v="International Conference on Big Data Analytics and Knowledge Discovery"/>
    <x v="1"/>
    <s v="B1"/>
    <n v="1"/>
    <x v="0"/>
  </r>
  <r>
    <x v="0"/>
    <n v="12"/>
    <s v="Esquema de Acordo de Chaves de Conferência Baseado em um Problema de Funções Quadráticas de Duas Variáveis"/>
    <s v="Simpósio Brasileiro em Segurança da Informação e de Sistemas Computacionais"/>
    <x v="1"/>
    <s v="B1"/>
    <n v="1"/>
    <x v="0"/>
  </r>
  <r>
    <x v="0"/>
    <n v="13"/>
    <s v="A First Approach using Neural Network to Estimating Soil Bulk Density of Urucu Basin in Central Amazon-Brazil "/>
    <s v="IEEE International Joint Conference on Neural Networks"/>
    <x v="1"/>
    <s v="A2"/>
    <n v="1"/>
    <x v="1"/>
  </r>
  <r>
    <x v="0"/>
    <n v="14"/>
    <s v="SliClick - Em Direção à Criação de um Apresentador de Slides Vestível"/>
    <s v="Workshop Brasileiro sobre Internet das Coisas na Educação"/>
    <x v="5"/>
    <s v="NI"/>
    <n v="0"/>
    <x v="0"/>
  </r>
  <r>
    <x v="0"/>
    <n v="15"/>
    <s v="Bio-inspired Active Attack for Identification of Networked Control Systems"/>
    <s v="International Conference on Bio-inspired Information and Communications Technologies"/>
    <x v="1"/>
    <s v="NI"/>
    <n v="0"/>
    <x v="0"/>
  </r>
  <r>
    <x v="0"/>
    <n v="16"/>
    <s v="Algoritmo heurístico aplicado ao problema de estratificação ótima"/>
    <s v="Brazilian Congress on Computational Intelligence"/>
    <x v="1"/>
    <s v="NI"/>
    <n v="0"/>
    <x v="0"/>
  </r>
  <r>
    <x v="0"/>
    <n v="17"/>
    <s v="Filtragem Adaptativa Aplicada ao Cancelamento de Artefatos em Sinais de ECG"/>
    <s v="Simpósio Brasileiro de Telecomunicações"/>
    <x v="1"/>
    <s v="NI"/>
    <n v="0"/>
    <x v="0"/>
  </r>
  <r>
    <x v="0"/>
    <n v="18"/>
    <s v="FitRank ? Aplicativo Social de Combate ao Sedentarismo: Estudo do uso de Aplicativos Sociais de Fitness em perfis de usuários do Facebook"/>
    <s v="Iberian Conference on Information Systems and Technologies"/>
    <x v="1"/>
    <s v="A4"/>
    <n v="1"/>
    <x v="1"/>
  </r>
  <r>
    <x v="0"/>
    <n v="19"/>
    <s v="Framework de Classificação e de Análise do Padrão Comportamental de Usuários de Aplicativos Sociais no Facebook"/>
    <s v="Ibero-Latin American Congress on Computational Methods in Engineering"/>
    <x v="1"/>
    <s v="NI"/>
    <n v="0"/>
    <x v="0"/>
  </r>
  <r>
    <x v="0"/>
    <n v="20"/>
    <s v="Novo Algoritmo Proporcional com Reúso de Coeficientes e Seleção de Dados"/>
    <s v="Simpósio Brasileiro de Telecomunicações"/>
    <x v="1"/>
    <s v="NI"/>
    <n v="0"/>
    <x v="0"/>
  </r>
  <r>
    <x v="0"/>
    <n v="21"/>
    <s v="Sistema de Reconhecimento Facial para controlo automático de presença em sala de aulas"/>
    <s v="Iberian Conference on Information Systems and Technologies"/>
    <x v="1"/>
    <s v="A4"/>
    <n v="1"/>
    <x v="1"/>
  </r>
  <r>
    <x v="0"/>
    <n v="22"/>
    <s v="TATMaster: Psycholinguistic Divergences in Automatically Translated Texts"/>
    <s v="Brazilian Symposium on Multimedia and the Web"/>
    <x v="3"/>
    <s v="A4"/>
    <n v="1"/>
    <x v="1"/>
  </r>
  <r>
    <x v="0"/>
    <n v="23"/>
    <s v="TATModel: Em Direção a um Novo Modelo para Avaliação de Traduções Automáticas de Texto"/>
    <s v="Symposium on Knowledge Discovery, Mining and Learning"/>
    <x v="3"/>
    <s v="B3"/>
    <n v="1"/>
    <x v="0"/>
  </r>
  <r>
    <x v="0"/>
    <n v="24"/>
    <s v="A hybrid affective lexicon for Brazilian Portuguese"/>
    <s v="Simpósio Brasileiro sobre Fatores Humanos em Sistemas Computacionais"/>
    <x v="3"/>
    <s v="B1"/>
    <n v="1"/>
    <x v="0"/>
  </r>
  <r>
    <x v="0"/>
    <n v="25"/>
    <s v="Inferência de idade utilizando o LIWC: identificando potenciais predadores sexuais"/>
    <s v="Brazilian Workshop on Social Network Analysis and Mining"/>
    <x v="3"/>
    <s v="B4"/>
    <n v="1"/>
    <x v="0"/>
  </r>
  <r>
    <x v="0"/>
    <n v="26"/>
    <s v="Uso de Controle Chaveado para Mitigação de Ataque Ativo de Identificação de Sistemas com Malha Fechada"/>
    <s v="Simpósio Brasileiro em Segurança da Informação e de Sistemas Computacionais"/>
    <x v="1"/>
    <s v="B1"/>
    <n v="1"/>
    <x v="0"/>
  </r>
  <r>
    <x v="0"/>
    <n v="27"/>
    <s v="A Framework for Benchmarking Machine Learning Methods Using Linear Models for Univariate Time Series Prediction"/>
    <s v="IEEE International Joint Conference on Neural Networks"/>
    <x v="6"/>
    <s v="A2"/>
    <n v="1"/>
    <x v="1"/>
  </r>
  <r>
    <x v="0"/>
    <n v="28"/>
    <s v="Avaliação de Agregação Temporal na Previsão da Temperatura de Superfície do Mar do Oceano Atlântico"/>
    <s v="Concurso de Trabalhos de Iniciação Científica"/>
    <x v="6"/>
    <s v="NI"/>
    <n v="0"/>
    <x v="0"/>
  </r>
  <r>
    <x v="0"/>
    <n v="29"/>
    <s v="Análise de Transiente do Algoritmo l0-sign-LMS"/>
    <s v="Simpósio Brasileiro de Telecomunicações"/>
    <x v="1"/>
    <s v="NI"/>
    <n v="0"/>
    <x v="0"/>
  </r>
  <r>
    <x v="0"/>
    <n v="30"/>
    <s v="Detecção de anomalias no transporte rodoviário urbano"/>
    <s v="Simpósio Brasileiro de Banco de Dados"/>
    <x v="4"/>
    <s v="A4"/>
    <n v="1"/>
    <x v="1"/>
  </r>
  <r>
    <x v="0"/>
    <n v="31"/>
    <s v="Usando Mineração de Dados para Identificação de Anomalias nos Sistemas de Transportes Rodoviários Urbanos"/>
    <s v="Encontro Nacional de Engenharia de Produção"/>
    <x v="1"/>
    <s v="NI"/>
    <n v="0"/>
    <x v="0"/>
  </r>
  <r>
    <x v="0"/>
    <n v="32"/>
    <s v="Classificação de filmes: uma abordagem utilizando o LIWC"/>
    <s v="Brazilian Workshop on Social Network Analysis and Mining"/>
    <x v="1"/>
    <s v="B4"/>
    <n v="1"/>
    <x v="0"/>
  </r>
  <r>
    <x v="0"/>
    <n v="33"/>
    <s v="Testes de sobrecarga: uma avaliação sobre requisitos de Disponibilidade e Desempenho"/>
    <s v="Workshop do Simpósio Brasileiro em Segurança da Informação e de Sistemas Computacionais"/>
    <x v="7"/>
    <s v="NI"/>
    <n v="0"/>
    <x v="0"/>
  </r>
  <r>
    <x v="0"/>
    <n v="34"/>
    <s v="Avaliação de requisitos de Disponibilidade e Desempenho por meio de testes de sobrecarga"/>
    <s v="Congresso Brasileiro de Metrologia"/>
    <x v="7"/>
    <s v="NI"/>
    <n v="0"/>
    <x v="0"/>
  </r>
  <r>
    <x v="0"/>
    <n v="35"/>
    <s v="Caminhos para a Segurança Normalização ou Adequação de Padrões"/>
    <s v="Workshop do Simpósio Brasileiro em Segurança da Informação e de Sistemas Computacionais"/>
    <x v="8"/>
    <s v="NI"/>
    <n v="0"/>
    <x v="0"/>
  </r>
  <r>
    <x v="0"/>
    <n v="36"/>
    <s v="Estratégia para a internalização de padrões internacionais de segurança"/>
    <s v="Congresso Brasileiro de Metrologia"/>
    <x v="8"/>
    <s v="NI"/>
    <n v="0"/>
    <x v="0"/>
  </r>
  <r>
    <x v="1"/>
    <n v="1"/>
    <s v="A Bimodal Learning Approach to Assist Multi-sensory Effects Synchronization"/>
    <s v="IEEE International Joint Conference on Neural Networks"/>
    <x v="0"/>
    <s v="A2"/>
    <n v="1"/>
    <x v="1"/>
  </r>
  <r>
    <x v="1"/>
    <n v="2"/>
    <s v="A total variation diminishing Hopmoc scheme for numerical time integration of evolutionary differential equations (to appear)"/>
    <s v="International Conference on Computer Supported Education"/>
    <x v="1"/>
    <s v="A3"/>
    <n v="1"/>
    <x v="1"/>
  </r>
  <r>
    <x v="1"/>
    <n v="3"/>
    <s v="An OpenMP implementation of the TVD-Hopmoc method based on a synchronization mechanism using locks between adjacent threads on Xeon Phi accelerators (to appear)"/>
    <s v="International Conference on Computational Science"/>
    <x v="1"/>
    <s v="B2"/>
    <n v="1"/>
    <x v="0"/>
  </r>
  <r>
    <x v="1"/>
    <n v="4"/>
    <s v="Fine-tuning an OpenMP-based TVD-Hopmoc method using Intel(R) Parallel Studio XE tools on Intel(R) Xeon(R) ArchitecturesFine-tuning an OpenMP-based TVD-Hopmoc method using Intel(R) Parallel Studio XE tools on Intel(R) Xeon(R) Architectures"/>
    <s v="Latin American High-Performance Computing Conference"/>
    <x v="1"/>
    <s v="NI"/>
    <n v="0"/>
    <x v="0"/>
  </r>
  <r>
    <x v="1"/>
    <n v="5"/>
    <s v="An improved OpenMP implementation of the TVD--Hopmoc method based on a cluster of points (to appear)"/>
    <s v="VECPAR"/>
    <x v="1"/>
    <s v="B4"/>
    <n v="1"/>
    <x v="0"/>
  </r>
  <r>
    <x v="1"/>
    <n v="6"/>
    <s v="Discovering Tight Space-Time Sequences"/>
    <s v="International Conference on Big Data Analytics and Knowledge Discovery"/>
    <x v="1"/>
    <s v="B1"/>
    <n v="1"/>
    <x v="0"/>
  </r>
  <r>
    <x v="1"/>
    <n v="7"/>
    <s v="CriançaProtegida: um jogo para prevenir a violência sexual contra crianças e adolescentes"/>
    <s v="Simpósio Brasileiro de Informática na Educação"/>
    <x v="1"/>
    <s v="A3"/>
    <n v="1"/>
    <x v="1"/>
  </r>
  <r>
    <x v="1"/>
    <n v="8"/>
    <s v="A dictionary of pronouns for Brazilian Portuguese"/>
    <s v="Brazilian Symposium on Multimedia and the Web"/>
    <x v="3"/>
    <s v="A4"/>
    <n v="1"/>
    <x v="1"/>
  </r>
  <r>
    <x v="1"/>
    <n v="9"/>
    <s v="LIWBC: a bigram algorithm to enhance results in polarity classification"/>
    <s v="Brazilian Symposium on Multimedia and the Web"/>
    <x v="3"/>
    <s v="A4"/>
    <n v="1"/>
    <x v="1"/>
  </r>
  <r>
    <x v="1"/>
    <n v="10"/>
    <s v="AffectPT-br: an Affective Lexicon based on LIWC 2015"/>
    <s v="International Conference of the Chilean Computer Science Society"/>
    <x v="2"/>
    <s v="B3"/>
    <n v="1"/>
    <x v="0"/>
  </r>
  <r>
    <x v="1"/>
    <n v="11"/>
    <s v="Orthographic Educational Game for Portuguese Language Countries. In: International Conference on Computer Supported Education"/>
    <s v="International Conference on Computer Supported Education"/>
    <x v="1"/>
    <s v="A3"/>
    <n v="1"/>
    <x v="1"/>
  </r>
  <r>
    <x v="1"/>
    <n v="12"/>
    <s v="Uma análise sobre as bulas de medicamentos no Brasil"/>
    <s v="Brazilian e-Science Workshop"/>
    <x v="9"/>
    <s v="B4"/>
    <n v="1"/>
    <x v="0"/>
  </r>
  <r>
    <x v="1"/>
    <n v="13"/>
    <s v="Sentiment Analysis on Brazilian News Broadcast Data"/>
    <s v="Brazilian Workshop on Social Network Analysis and Mining"/>
    <x v="9"/>
    <s v="B4"/>
    <n v="1"/>
    <x v="0"/>
  </r>
  <r>
    <x v="1"/>
    <n v="14"/>
    <s v="Uso de Técnicas de Proteção de Software em Sistemas Embarcados"/>
    <s v="IV Workshop sobre Regulação, Avaliação da Conformidade, Testes e Padrões de Segurança"/>
    <x v="1"/>
    <s v="NI"/>
    <n v="0"/>
    <x v="0"/>
  </r>
  <r>
    <x v="1"/>
    <n v="15"/>
    <s v="Rumo à Otimização de Operadores sobre UDF no Spark (to appear)"/>
    <s v="Brazilian e-Science Workshop"/>
    <x v="4"/>
    <s v="B4"/>
    <n v="1"/>
    <x v="0"/>
  </r>
  <r>
    <x v="1"/>
    <n v="16"/>
    <s v="Rumo à Integração da Álgebra de Workflows a Processadores de Consultas Relacionais"/>
    <s v="Simpósio Brasileiro de Banco de Dados"/>
    <x v="4"/>
    <s v="A4"/>
    <n v="1"/>
    <x v="1"/>
  </r>
  <r>
    <x v="1"/>
    <n v="17"/>
    <s v="Integração de Dados na Detecção de Alvos para Fármacos de Schistosoma mansoni"/>
    <s v="Brazilian e-Science Workshop"/>
    <x v="10"/>
    <s v="B4"/>
    <n v="1"/>
    <x v="0"/>
  </r>
  <r>
    <x v="1"/>
    <n v="18"/>
    <s v="A modified bandwidth reduction heuristic based on the WBRA and George-Liu algorithm"/>
    <s v="International Conference on Computational Science"/>
    <x v="1"/>
    <s v="B2"/>
    <n v="1"/>
    <x v="0"/>
  </r>
  <r>
    <x v="1"/>
    <n v="19"/>
    <s v="An experimental assessment of three point-insertion sequences for 3D incremental Delaunay tessellations"/>
    <s v="International Conference on Computational Science"/>
    <x v="1"/>
    <s v="B2"/>
    <n v="1"/>
    <x v="0"/>
  </r>
  <r>
    <x v="1"/>
    <n v="20"/>
    <s v="Relações de Nordhaus-Gaddum para o raio espectral das matrizes laplaciana e laplaciana sem sinal"/>
    <s v="Simpósio Brasileiro de Pesquisa Operacional"/>
    <x v="1"/>
    <s v="B3"/>
    <n v="1"/>
    <x v="0"/>
  </r>
  <r>
    <x v="1"/>
    <n v="21"/>
    <s v="Multisensorial Books: improving readers' quality of experience"/>
    <s v="Latin American Conference on Learning Objects and Technologies"/>
    <x v="1"/>
    <s v="B2"/>
    <n v="1"/>
    <x v="0"/>
  </r>
  <r>
    <x v="1"/>
    <n v="22"/>
    <s v="Brazilian Soil Bulk Density Prediction Based on a Committee of Neural Regressors"/>
    <s v="IEEE International Joint Conference on Neural Networks"/>
    <x v="1"/>
    <s v="A2"/>
    <n v="1"/>
    <x v="1"/>
  </r>
  <r>
    <x v="1"/>
    <n v="23"/>
    <s v="Modeling Sensory Effects as First-Class Entities in Multimedia Applications"/>
    <s v="ACM Multimedia Systems Conference"/>
    <x v="0"/>
    <s v="A2"/>
    <n v="1"/>
    <x v="1"/>
  </r>
  <r>
    <x v="1"/>
    <n v="24"/>
    <s v="Towards the Modular Specification and Validation of Cyber-Physical Systems: A Case-Study on Reservoir Modeling with Hybrid Automata (to appear)"/>
    <s v="International Conference on Computational Science and Its Applications"/>
    <x v="1"/>
    <s v="A4"/>
    <n v="1"/>
    <x v="1"/>
  </r>
  <r>
    <x v="1"/>
    <n v="25"/>
    <s v="On Evaluating Data Preprocessing Methods for Machine Learning Models for Flight Delays (to appear)"/>
    <s v="IEEE International Joint Conference on Neural Networks"/>
    <x v="11"/>
    <s v="A2"/>
    <n v="1"/>
    <x v="1"/>
  </r>
  <r>
    <x v="1"/>
    <n v="26"/>
    <s v="Suíte Multiplataforma para Coleta e Gerência de Dados de Dispositivos Móveis"/>
    <s v="Brazilian Symposium on Multimedia and the Web"/>
    <x v="1"/>
    <s v="A4"/>
    <n v="1"/>
    <x v="1"/>
  </r>
  <r>
    <x v="1"/>
    <n v="27"/>
    <s v="DescobrindoSons: um jogo para ensinar música de forma lúdica"/>
    <s v="Simpósio Brasileiro de Informática na Educação"/>
    <x v="1"/>
    <s v="A3"/>
    <n v="1"/>
    <x v="1"/>
  </r>
  <r>
    <x v="1"/>
    <n v="28"/>
    <s v="Identificando Sinais de Comportamento Depressivo em Redes Sociais"/>
    <s v="Brazilian Workshop on Social Network Analysis and Mining"/>
    <x v="12"/>
    <s v="B4"/>
    <n v="1"/>
    <x v="0"/>
  </r>
  <r>
    <x v="1"/>
    <n v="29"/>
    <s v="Programação de Escalas na Agricultura Irrigada utilizando o Método Particle Swarm Optimization (PSO)"/>
    <s v="Latin America Workshop on Data Science"/>
    <x v="1"/>
    <s v="NI"/>
    <n v="0"/>
    <x v="0"/>
  </r>
  <r>
    <x v="1"/>
    <n v="30"/>
    <s v="Evaluating the Complementarity of Communication Tools for Learning Platforms"/>
    <s v="International Conference on Computer Supported Education"/>
    <x v="1"/>
    <s v="A3"/>
    <n v="1"/>
    <x v="1"/>
  </r>
  <r>
    <x v="1"/>
    <n v="31"/>
    <s v="ATAnalysis - Toward a psycholinguistic method to analyze video textual information"/>
    <s v="Latin America Workshop on Data Science"/>
    <x v="5"/>
    <s v="NI"/>
    <n v="0"/>
    <x v="0"/>
  </r>
  <r>
    <x v="1"/>
    <n v="32"/>
    <s v="Evaluation on Passive System Identification and Covert Misappropriation Attacks in Large Pressurized Heavy Water Reactors"/>
    <s v="Workshop on Metrology for Industry 4.0 and IoT"/>
    <x v="1"/>
    <s v="NI"/>
    <n v="0"/>
    <x v="0"/>
  </r>
  <r>
    <x v="1"/>
    <n v="33"/>
    <s v="Guerra Cibernética no Âmbito do Poder Marítimo"/>
    <s v="IV Workshop sobre Regulação, Avaliação da Conformidade, Testes e Padrões de Segurança"/>
    <x v="1"/>
    <s v="NI"/>
    <n v="0"/>
    <x v="0"/>
  </r>
  <r>
    <x v="1"/>
    <n v="34"/>
    <s v="Building Reference Datasets to Support Socialbots Detection"/>
    <s v="IEEE INTERNATIONAL WORKSHOP ON Metrology for Industry 4.0 and IoT"/>
    <x v="1"/>
    <s v="NI"/>
    <n v="0"/>
    <x v="0"/>
  </r>
  <r>
    <x v="1"/>
    <n v="35"/>
    <s v="NOVOS RESULTADOS PARA O ÍNDICE DE CONECTIVIDADE DE LIGAÇÃO ATÔMICA EM GRAFOS QUE MODELAM DENDRÍMEROS"/>
    <s v="Simpósio Brasileiro de Pesquisa Operacional"/>
    <x v="1"/>
    <s v="B3"/>
    <n v="1"/>
    <x v="0"/>
  </r>
  <r>
    <x v="1"/>
    <n v="36"/>
    <s v="Visualização de Dados em Java para um Modelo de Autômato Celular de Crescimento de Tumores (to appear)"/>
    <s v="Encontro Nacional de Modelagem Computacional"/>
    <x v="1"/>
    <s v="NI"/>
    <n v="0"/>
    <x v="0"/>
  </r>
  <r>
    <x v="1"/>
    <n v="37"/>
    <s v="A New Proportionate Adaptive Filtering Algorithm with Coefficient Reuse and Robustness Against Impulsive Noise"/>
    <s v="European Signal Processing Conference"/>
    <x v="1"/>
    <s v="A3"/>
    <n v="1"/>
    <x v="1"/>
  </r>
  <r>
    <x v="1"/>
    <n v="38"/>
    <s v="Algoritmo NLMS com Reúso de Coeficientes e Compensação de Viés para Entradas Ruidosa"/>
    <s v="Simpósio Brasileiro de Telecomunicações e Processamento de Sinais"/>
    <x v="1"/>
    <s v="NI"/>
    <n v="0"/>
    <x v="0"/>
  </r>
  <r>
    <x v="1"/>
    <n v="39"/>
    <s v="Constellation Queries over Big Data"/>
    <s v="Simpósio Brasileiro de Banco de Dados"/>
    <x v="1"/>
    <s v="A4"/>
    <n v="1"/>
    <x v="1"/>
  </r>
  <r>
    <x v="1"/>
    <n v="40"/>
    <s v="Point Pattern Search in Big Data"/>
    <s v="International Conference on Scientific and Statistical Database Management"/>
    <x v="1"/>
    <s v="A3"/>
    <n v="1"/>
    <x v="1"/>
  </r>
  <r>
    <x v="1"/>
    <n v="41"/>
    <s v="Sparsity-Aware Distributed Adaptive Filtering Algorithms for Nonlinear System Identification"/>
    <s v="IEEE International Joint Conference on Neural Networks"/>
    <x v="1"/>
    <s v="A2"/>
    <n v="1"/>
    <x v="1"/>
  </r>
  <r>
    <x v="1"/>
    <n v="42"/>
    <s v="VITA - Estimando a satisfação de estudantes por meio da Análise de Sentimentos"/>
    <s v="Simpósio Brasileiro de Informática na Educação"/>
    <x v="13"/>
    <s v="A3"/>
    <n v="1"/>
    <x v="1"/>
  </r>
  <r>
    <x v="1"/>
    <n v="43"/>
    <s v="Sistema de Controle e Segurança para Acesso à Sala de Aula Baseado em Reconhecimento Facial"/>
    <s v="Conferencia Latinoamericana de Informática"/>
    <x v="14"/>
    <s v="B2"/>
    <n v="1"/>
    <x v="0"/>
  </r>
  <r>
    <x v="1"/>
    <n v="44"/>
    <s v="Control and Security System for Classroom Access Based on Facial Recognition"/>
    <s v="-"/>
    <x v="1"/>
    <s v="NI"/>
    <n v="0"/>
    <x v="0"/>
  </r>
  <r>
    <x v="1"/>
    <n v="45"/>
    <s v="A Variable Step-Size NLMS Algorithm with Adaptive Coefficient Vector Reusing"/>
    <s v="IEEE International Conference on Electro Information Technology"/>
    <x v="1"/>
    <s v="NI"/>
    <n v="0"/>
    <x v="0"/>
  </r>
  <r>
    <x v="1"/>
    <n v="46"/>
    <s v="LMS Algorithm with Reuse of Coefficients and Robustness Against Impulsive Noise"/>
    <s v="Congresso Brasileiro de Automática"/>
    <x v="1"/>
    <s v="NI"/>
    <n v="0"/>
    <x v="0"/>
  </r>
  <r>
    <x v="1"/>
    <n v="47"/>
    <s v="Implementation of Cybersecurity Procedures in Remote Calibration for PNT Services"/>
    <s v="Workshop on Metrology for Industry 4.0 and IoT"/>
    <x v="1"/>
    <s v="NI"/>
    <n v="0"/>
    <x v="0"/>
  </r>
  <r>
    <x v="1"/>
    <n v="48"/>
    <s v=" True random number generators for batch control sampling in Smart Factories"/>
    <s v="IEEE INTERNATIONAL WORKSHOP ON Metrology for Industry 4.0 and IoT"/>
    <x v="1"/>
    <s v="NI"/>
    <n v="0"/>
    <x v="0"/>
  </r>
  <r>
    <x v="1"/>
    <n v="49"/>
    <s v="Object Classification in Thermal Images using Convolutional Neural Networks for Search and Rescue Missions with Unmanned Aerial Systems"/>
    <s v="IEEE International Joint Conference on Neural Networks"/>
    <x v="1"/>
    <s v="A2"/>
    <n v="1"/>
    <x v="1"/>
  </r>
  <r>
    <x v="1"/>
    <n v="50"/>
    <s v="Towards the creation of a tool for identifying personality in virtual learning environments"/>
    <s v="Latin American Conference on Learning Objects and Technologies"/>
    <x v="3"/>
    <s v="B2"/>
    <n v="1"/>
    <x v="0"/>
  </r>
  <r>
    <x v="1"/>
    <n v="51"/>
    <s v="Avaliação da Conformidade de Ativos de Tecnologias: uma Análise Orientada a Riscos"/>
    <s v="IV Workshop sobre Regulação, Avaliação da Conformidade, Testes e Padrões de Segurança"/>
    <x v="7"/>
    <s v="NI"/>
    <n v="0"/>
    <x v="0"/>
  </r>
  <r>
    <x v="1"/>
    <n v="52"/>
    <s v="Proposta de um Programa de Certificação Básica de Segurança da Informação"/>
    <s v="IV Workshop sobre Regulação, Avaliação da Conformidade, Testes e Padrões de Segurança"/>
    <x v="1"/>
    <s v="NI"/>
    <n v="0"/>
    <x v="0"/>
  </r>
  <r>
    <x v="1"/>
    <n v="53"/>
    <s v="Emoções em português do Brasil: um conjunto de dados e resultados de base"/>
    <s v="Brazilian Workshop on Social Network Analysis and Mining"/>
    <x v="12"/>
    <s v="B4"/>
    <n v="1"/>
    <x v="0"/>
  </r>
  <r>
    <x v="1"/>
    <n v="54"/>
    <s v="Handling out-of-vocabulary words in lexicons to polarity classification"/>
    <s v="Simpósio Brasileiro sobre Fatores Humanos em Sistemas Computacionais"/>
    <x v="12"/>
    <s v="B1"/>
    <n v="1"/>
    <x v="0"/>
  </r>
  <r>
    <x v="1"/>
    <n v="55"/>
    <s v="A Brief Review about Educational Data Mining applied to Predict Student's Dropout (to appear)"/>
    <s v="Escola Regional de Sistemas de Informação do Rio de Janeiro"/>
    <x v="15"/>
    <s v="NI"/>
    <n v="0"/>
    <x v="0"/>
  </r>
  <r>
    <x v="1"/>
    <n v="56"/>
    <s v="Detecção de traços de narcisismo em conversas com predadores sexuais"/>
    <s v="Brazilian Workshop on Social Network Analysis and Mining"/>
    <x v="16"/>
    <s v="B4"/>
    <n v="1"/>
    <x v="0"/>
  </r>
  <r>
    <x v="1"/>
    <n v="57"/>
    <s v="Detecção de Anomalias Frequentes no Transporte Rodoviário Urbano"/>
    <s v="Simpósio Brasileiro de Banco de Dados"/>
    <x v="4"/>
    <s v="A4"/>
    <n v="1"/>
    <x v="1"/>
  </r>
  <r>
    <x v="1"/>
    <n v="58"/>
    <s v="A Crowdsourcing Tool for Data Augmentation in Visual Question Answering Tasks"/>
    <s v="Brazilian Symposium on Multimedia and the Web"/>
    <x v="17"/>
    <s v="A4"/>
    <n v="1"/>
    <x v="1"/>
  </r>
  <r>
    <x v="1"/>
    <n v="59"/>
    <s v="A Spatiotemporal Ensemble Approach to Rainfall Forecasting"/>
    <s v="IEEE International Joint Conference on Neural Networks"/>
    <x v="1"/>
    <s v="A2"/>
    <n v="1"/>
    <x v="1"/>
  </r>
  <r>
    <x v="1"/>
    <n v="60"/>
    <s v="Apoiando o processo de imputação univariada com técnicas de aprendizado de máquina"/>
    <s v="Simpósio Brasileiro de Banco de Dados"/>
    <x v="18"/>
    <s v="A4"/>
    <n v="1"/>
    <x v="1"/>
  </r>
  <r>
    <x v="1"/>
    <n v="61"/>
    <s v="Uso da plataforma Mohid como ferramenta de apoio à tomada de decisão: um exemplo na região de Nova Friburgo"/>
    <s v="Escola Regional de Sistemas de Informação"/>
    <x v="1"/>
    <s v="NI"/>
    <n v="0"/>
    <x v="0"/>
  </r>
  <r>
    <x v="1"/>
    <n v="62"/>
    <s v="BlackBox TestBox: uma ferramenta baseada em virtualização para testes de caixa-preta"/>
    <s v="IV Workshop sobre Regulação, Avaliação da Conformidade, Testes e Padrões de Segurança"/>
    <x v="7"/>
    <s v="NI"/>
    <n v="0"/>
    <x v="0"/>
  </r>
  <r>
    <x v="1"/>
    <n v="63"/>
    <s v="Scientific Data Analysis Using Data-Intensive Scalable Computing: the SciDISC Project"/>
    <s v="Latin America Workshop on Data Science"/>
    <x v="1"/>
    <s v="NI"/>
    <n v="0"/>
    <x v="0"/>
  </r>
  <r>
    <x v="1"/>
    <n v="64"/>
    <s v="Evaluating the Influence of Mulsemedia Content in Reading"/>
    <s v="Brazilian Symposium on Multimedia and the Web"/>
    <x v="5"/>
    <s v="A4"/>
    <n v="1"/>
    <x v="1"/>
  </r>
  <r>
    <x v="2"/>
    <n v="1"/>
    <s v="Semi-automatic Synchronization of Sensory Effects in Mulsemedia Authoring Tools"/>
    <s v="Brazilian Symposium on Multimedia and the Web"/>
    <x v="0"/>
    <s v="A4"/>
    <n v="1"/>
    <x v="1"/>
  </r>
  <r>
    <x v="2"/>
    <n v="2"/>
    <s v="Análise Exploratória da Malária na Amazônia Brasileira por Meio da Plataforma de Ciência de Dados Aplicada à Saúde"/>
    <s v="Brazilian e-Science Workshop"/>
    <x v="1"/>
    <s v="B4"/>
    <n v="1"/>
    <x v="0"/>
  </r>
  <r>
    <x v="2"/>
    <n v="3"/>
    <s v="Measuring randomness in IoT products"/>
    <s v="Workshop on Metrology for Industry 4.0 and IoT"/>
    <x v="1"/>
    <s v="NI"/>
    <n v="0"/>
    <x v="0"/>
  </r>
  <r>
    <x v="2"/>
    <n v="4"/>
    <s v="Avaliação das categorias afetivas do dicionário PB-LIWC2015"/>
    <s v="Brazilian Symposium in Information and Human Language Technology"/>
    <x v="2"/>
    <s v="B1"/>
    <n v="1"/>
    <x v="0"/>
  </r>
  <r>
    <x v="2"/>
    <n v="5"/>
    <s v="Evaluating the 2015 Brazilian Portuguese LIWC Lexicon with sentiment analysis in social networks"/>
    <s v="Brazilian Workshop on Social Network Analysis and Mining"/>
    <x v="2"/>
    <s v="B4"/>
    <n v="1"/>
    <x v="0"/>
  </r>
  <r>
    <x v="2"/>
    <n v="6"/>
    <s v="Discovering Patterns in Sentimental Analysis"/>
    <s v="Brazilian Symposium on Multimedia and the Web"/>
    <x v="2"/>
    <s v="A4"/>
    <n v="1"/>
    <x v="1"/>
  </r>
  <r>
    <x v="2"/>
    <n v="7"/>
    <s v="Mineração de sequências restritas no espaço e no tempo"/>
    <s v="WTDBD"/>
    <x v="19"/>
    <s v="NI"/>
    <n v="0"/>
    <x v="0"/>
  </r>
  <r>
    <x v="2"/>
    <n v="8"/>
    <s v="A biased random-key genetic algorithm for the traffic counting location problem"/>
    <s v="Brazilian Conference on Intelligent Systems"/>
    <x v="1"/>
    <s v="A4"/>
    <n v="1"/>
    <x v="1"/>
  </r>
  <r>
    <x v="2"/>
    <n v="9"/>
    <s v="Recognizing pharmacovigilance named entities in Brazilian Portuguese with CoreNLP"/>
    <s v="Brazilian e-Science Workshop"/>
    <x v="9"/>
    <s v="B4"/>
    <n v="1"/>
    <x v="0"/>
  </r>
  <r>
    <x v="2"/>
    <n v="10"/>
    <s v="Topology control optimization of wireless sensor networks for IoT applications"/>
    <s v="Brazilian Symposium on Multimedia and the Web"/>
    <x v="20"/>
    <s v="A4"/>
    <n v="1"/>
    <x v="1"/>
  </r>
  <r>
    <x v="2"/>
    <n v="11"/>
    <s v="Cluster-head switching algorithm based on node temperature in wireless body sensors networks"/>
    <s v="Brazilian Symposium on Multimedia and the Web"/>
    <x v="1"/>
    <s v="A4"/>
    <n v="1"/>
    <x v="1"/>
  </r>
  <r>
    <x v="2"/>
    <n v="12"/>
    <s v="Countermeasure for Identification of Controlled Data Injection Attacks in Networked Control Systems"/>
    <s v="Workshop on Metrology for Industry 4.0 and IoT"/>
    <x v="1"/>
    <s v="NI"/>
    <n v="0"/>
    <x v="0"/>
  </r>
  <r>
    <x v="2"/>
    <n v="13"/>
    <s v="Performance evaluation and comparison of default and small private key rainbow digital signature scheme for IoT devices"/>
    <s v="Brazilian Symposium on Multimedia and the Web"/>
    <x v="1"/>
    <s v="A4"/>
    <n v="1"/>
    <x v="1"/>
  </r>
  <r>
    <x v="2"/>
    <n v="14"/>
    <s v="Genetic Algorithm for Sectionalizer Switches Allocation in Distribution System with Distributed Generation"/>
    <s v="Simpósio Brasileiro de Pesquisa Operacional"/>
    <x v="21"/>
    <s v="B3"/>
    <n v="1"/>
    <x v="0"/>
  </r>
  <r>
    <x v="2"/>
    <n v="15"/>
    <s v="Algoritmo DTN com Controle de Energia Aplicado em Redes de Sensores Corporais Sem-Fio"/>
    <s v="Simpósio Brasileiro de Telecomunicações e Processamento de Sinais"/>
    <x v="1"/>
    <s v="NI"/>
    <n v="0"/>
    <x v="0"/>
  </r>
  <r>
    <x v="2"/>
    <n v="16"/>
    <s v="UnderApp: A System For Remote Monitoring Of Landslides Based On Wireless Underground Sensor Networks"/>
    <s v="Workshop de Trabalhos de Iniciação Científica"/>
    <x v="20"/>
    <s v="NI"/>
    <n v="0"/>
    <x v="0"/>
  </r>
  <r>
    <x v="2"/>
    <n v="17"/>
    <s v="A Deep Reinforcement Learning Approach to Asset-Liability Management"/>
    <s v="Brazilian Conference on Intelligent Systems"/>
    <x v="22"/>
    <s v="A4"/>
    <n v="1"/>
    <x v="1"/>
  </r>
  <r>
    <x v="2"/>
    <n v="18"/>
    <s v="Identifying Schistosoma mansoni essential protein candidates based on machine learning"/>
    <s v="Brazilian Symposium on Bioinformatics"/>
    <x v="10"/>
    <s v="B1"/>
    <n v="1"/>
    <x v="0"/>
  </r>
  <r>
    <x v="2"/>
    <n v="19"/>
    <s v="Em direção a uma Ontologia das Eleições Brasileiras"/>
    <s v="Brazilian Seminar on Ontologies"/>
    <x v="23"/>
    <s v="B3"/>
    <n v="1"/>
    <x v="0"/>
  </r>
  <r>
    <x v="2"/>
    <n v="20"/>
    <s v="GRASP Híbrido para Resolução do Problema de Localização de Facilidades Capacitadas em Dois Níveis"/>
    <s v="Simpósio Brasileiro de Pesquisa Operacional"/>
    <x v="1"/>
    <s v="B3"/>
    <n v="1"/>
    <x v="0"/>
  </r>
  <r>
    <x v="2"/>
    <n v="21"/>
    <s v="Planejamento estratégico do transporte de soja como suporte a efetivação das cidades inteligentes no Brasil"/>
    <s v="Iberoamerican Congress on Smart Cities"/>
    <x v="1"/>
    <s v="NI"/>
    <n v="0"/>
    <x v="0"/>
  </r>
  <r>
    <x v="2"/>
    <n v="22"/>
    <s v="Affective Multisensorial Books"/>
    <s v="Latin American Conference on Learning Objects and Technologies"/>
    <x v="16"/>
    <s v="B2"/>
    <n v="1"/>
    <x v="0"/>
  </r>
  <r>
    <x v="2"/>
    <n v="23"/>
    <s v="Uso de Redes Blockchain em Aplicações de Metrologia e Avaliação da Conformidade"/>
    <s v="Simpósio Brasileiro em Segurança da Informação e de Sistemas Computacionais"/>
    <x v="1"/>
    <s v="B1"/>
    <n v="1"/>
    <x v="0"/>
  </r>
  <r>
    <x v="2"/>
    <n v="24"/>
    <s v="Link Prediction in Social Networks: Combining Topological and Contextual Data in a Community Detection Based Method"/>
    <s v="Brazilian Symposium on Multimedia and the Web"/>
    <x v="1"/>
    <s v="A4"/>
    <n v="1"/>
    <x v="1"/>
  </r>
  <r>
    <x v="2"/>
    <n v="25"/>
    <s v="Locality Sensitive Algotrithms for Data Mule Routing Problem"/>
    <s v="International Conference on Algorithmic Aspects of Information and Management"/>
    <x v="1"/>
    <s v="NI"/>
    <n v="0"/>
    <x v="0"/>
  </r>
  <r>
    <x v="2"/>
    <n v="26"/>
    <s v="Identificando sintomas depressivos: um estudo de caso no Youtube"/>
    <s v="Brazilian Workshop on Social Network Analysis and Mining"/>
    <x v="24"/>
    <s v="B4"/>
    <n v="1"/>
    <x v="0"/>
  </r>
  <r>
    <x v="2"/>
    <n v="27"/>
    <s v="Netspeak-BR: Um léxico sobre expressões criadas na língua portuguesa brasileira para a Internet"/>
    <s v="Brazilian Symposium in Information and Human Language Technology"/>
    <x v="24"/>
    <s v="B1"/>
    <n v="1"/>
    <x v="0"/>
  </r>
  <r>
    <x v="2"/>
    <n v="28"/>
    <s v="A Science Gateway to Support Research in Spectral Graph Theory"/>
    <s v="Simpósio Brasileiro de Banco de Dados"/>
    <x v="25"/>
    <s v="A4"/>
    <n v="1"/>
    <x v="1"/>
  </r>
  <r>
    <x v="2"/>
    <n v="29"/>
    <s v="Desenvolvimento de uma Interface para dispositivos móveis associada a uma plataforma múltipla de dado"/>
    <s v="Computer on The Beach"/>
    <x v="26"/>
    <s v="B3"/>
    <n v="1"/>
    <x v="0"/>
  </r>
  <r>
    <x v="2"/>
    <n v="30"/>
    <s v="The ℓ0-Norm Constraint Coefficient Reusing Least Mean Square Algorithm"/>
    <s v="Simpósio Brasileiro de Telecomunicações e Processamento de Sinais"/>
    <x v="1"/>
    <s v="NI"/>
    <n v="0"/>
    <x v="0"/>
  </r>
  <r>
    <x v="2"/>
    <n v="31"/>
    <s v="calcDPC: An Algorithm for Analysing Psycholinguistics Aspects in Machine Translations"/>
    <s v="International Conference of the Chilean Computer Science Society"/>
    <x v="3"/>
    <s v="B3"/>
    <n v="1"/>
    <x v="0"/>
  </r>
  <r>
    <x v="2"/>
    <n v="32"/>
    <s v="A Proposal for Supporting Sensory Effect Rendering in Ginga-NCL"/>
    <s v="Brazilian Symposium on Multimedia and the Web"/>
    <x v="0"/>
    <s v="A4"/>
    <n v="1"/>
    <x v="1"/>
  </r>
  <r>
    <x v="2"/>
    <n v="33"/>
    <s v="Modelo Autorregressivo de Integração Adaptativa"/>
    <s v="Simpósio Brasileiro de Banco de Dados"/>
    <x v="27"/>
    <s v="A4"/>
    <n v="1"/>
    <x v="1"/>
  </r>
  <r>
    <x v="2"/>
    <n v="34"/>
    <s v="Estabelecimento de um Pacote de Ensaio de Proficiência para Avaliação de Laboratórios em Análise de Produtos de Software"/>
    <s v="Simpósio Brasileiro em Segurança da Informação e de Sistemas Computacionais"/>
    <x v="1"/>
    <s v="B1"/>
    <n v="1"/>
    <x v="0"/>
  </r>
  <r>
    <x v="2"/>
    <n v="35"/>
    <s v="Bio-inspired System Identification Attacks in Noisy Networked Control Systems"/>
    <s v="International Conference on Bio-inspired Information and Communications Technologies"/>
    <x v="1"/>
    <s v="NI"/>
    <n v="0"/>
    <x v="0"/>
  </r>
  <r>
    <x v="2"/>
    <n v="36"/>
    <s v="Estudo sobre o uso do framework OpenMP na paralelização de um algoritmo para o problema de busca em largura"/>
    <s v="Simpósio Brasileiro de Pesquisa Operacional"/>
    <x v="28"/>
    <s v="B3"/>
    <n v="1"/>
    <x v="0"/>
  </r>
  <r>
    <x v="2"/>
    <n v="37"/>
    <s v="Hate Speech Detection Using Brazilian Imageboards"/>
    <s v="Brazilian Symposium on Multimedia and the Web"/>
    <x v="12"/>
    <s v="A4"/>
    <n v="1"/>
    <x v="1"/>
  </r>
  <r>
    <x v="2"/>
    <n v="38"/>
    <s v="Data Warehouse Educacional: Uma visão sobre a Evasão no Ensino Superior"/>
    <s v="Simpósio Brasileiro de Banco de Dados"/>
    <x v="15"/>
    <s v="A4"/>
    <n v="1"/>
    <x v="1"/>
  </r>
  <r>
    <x v="2"/>
    <n v="39"/>
    <s v="Identificação de discurso ofensivo no Twitter nas eleições presidenciais de 2018 no Brasil"/>
    <s v="Brazilian Symposium in Information and Human Language Technology"/>
    <x v="16"/>
    <s v="B1"/>
    <n v="1"/>
    <x v="0"/>
  </r>
  <r>
    <x v="2"/>
    <n v="40"/>
    <s v=" Identificação de predadores sexuais brasileiros por meio de análise de conversas realizadas na Internet"/>
    <s v="Brazilian Workshop on Social Network Analysis and Mining"/>
    <x v="16"/>
    <s v="B4"/>
    <n v="1"/>
    <x v="0"/>
  </r>
  <r>
    <x v="2"/>
    <n v="41"/>
    <s v="Desenvolvimento de uma Aplicação Segura de Sensoriamento através de Redes Oportunísticas"/>
    <s v="Simpósio Brasileiro em Segurança da Informação e de Sistemas Computacionais"/>
    <x v="1"/>
    <s v="B1"/>
    <n v="1"/>
    <x v="0"/>
  </r>
  <r>
    <x v="2"/>
    <n v="42"/>
    <s v="A conceptual vision toward the management of Machine Learning models?"/>
    <s v="ER Forum"/>
    <x v="6"/>
    <s v="NI"/>
    <n v="0"/>
    <x v="0"/>
  </r>
  <r>
    <x v="2"/>
    <n v="43"/>
    <s v="Adding Temporal Semantic to Textual Media Objects with Eye Tracking Technoligy"/>
    <s v="Brazilian Symposium on Multimedia and the Web"/>
    <x v="29"/>
    <s v="A4"/>
    <n v="1"/>
    <x v="1"/>
  </r>
  <r>
    <x v="2"/>
    <n v="44"/>
    <s v="Collaborative information system to find efficient routes using public transport"/>
    <s v="Brazilian Symposium on Multimedia and the Web"/>
    <x v="1"/>
    <s v="A4"/>
    <n v="1"/>
    <x v="1"/>
  </r>
  <r>
    <x v="2"/>
    <n v="45"/>
    <s v="On the Chromatic Index of Complementary Prisms"/>
    <s v="European Conference on Combinatorics, Graph Theory and Applications"/>
    <x v="1"/>
    <s v="A3"/>
    <n v="1"/>
    <x v="1"/>
  </r>
  <r>
    <x v="3"/>
    <n v="1"/>
    <s v="Uso de ciência de dados para predição do consumo de fertilizantes no Brasil"/>
    <s v="Brazilian e-Science Workshop"/>
    <x v="30"/>
    <s v="B4"/>
    <n v="1"/>
    <x v="0"/>
  </r>
  <r>
    <x v="3"/>
    <n v="2"/>
    <s v="Algoritmo Genético Aplicado ao Problema da Geometria de Distâncias Moleculares"/>
    <s v="Simpósio Brasileiro de Pesquisa Operacional"/>
    <x v="1"/>
    <s v="B3"/>
    <n v="1"/>
    <x v="0"/>
  </r>
  <r>
    <x v="3"/>
    <n v="3"/>
    <s v="A Brazilian Portuguese Moral Foundations Dictionary for Fake News classification"/>
    <s v="International Conference of the Chilean Computer Science Society"/>
    <x v="5"/>
    <s v="B3"/>
    <n v="1"/>
    <x v="0"/>
  </r>
  <r>
    <x v="3"/>
    <n v="4"/>
    <s v="Estimating the execution time of the coupled stage in multiscale numerical simulations"/>
    <s v="Latin America High Performance Computing Conference"/>
    <x v="1"/>
    <s v="NI"/>
    <n v="0"/>
    <x v="0"/>
  </r>
  <r>
    <x v="3"/>
    <n v="5"/>
    <s v="Estimating the execution time of fully-online multiscale numerical simulations"/>
    <s v="Simpósio em Sistemas Computacionais de Alto Desempenho"/>
    <x v="1"/>
    <s v="B1"/>
    <n v="1"/>
    <x v="0"/>
  </r>
  <r>
    <x v="3"/>
    <n v="6"/>
    <s v="Revisão Sistemática sobre o Problema de Localização de Sensores em Redes Visando a Redução da Evasão do Tráfego Rodoviário: Abordagens, Algoritmos e Aplicações"/>
    <s v="Congresso Nacional de Pesquisa e Ensino em Transporte"/>
    <x v="1"/>
    <s v="NI"/>
    <n v="0"/>
    <x v="0"/>
  </r>
  <r>
    <x v="3"/>
    <n v="7"/>
    <s v="A biased random-key genetic algorithm for bandwidth reduction"/>
    <s v="International Conference on Computational Science and its Applications"/>
    <x v="31"/>
    <s v="A4"/>
    <n v="1"/>
    <x v="1"/>
  </r>
  <r>
    <x v="3"/>
    <n v="8"/>
    <s v="A Biased Random Key Genetic Algorithm to Solve the Network Sensor Location Problem with Monitored Lanes"/>
    <s v="Congresso Nacional de Pesquisa e Ensino em Transporte"/>
    <x v="1"/>
    <s v="NI"/>
    <n v="0"/>
    <x v="0"/>
  </r>
  <r>
    <x v="3"/>
    <n v="9"/>
    <s v="Mapping the environmental criteria for facility location problems"/>
    <s v="Ibero-American Congress of Smart Cities"/>
    <x v="1"/>
    <s v="NI"/>
    <n v="0"/>
    <x v="0"/>
  </r>
  <r>
    <x v="3"/>
    <n v="10"/>
    <s v="Carbon regulation policies in transport: a review"/>
    <s v="Ibero-American Congress of Smart Cities"/>
    <x v="1"/>
    <s v="NI"/>
    <n v="0"/>
    <x v="0"/>
  </r>
  <r>
    <x v="3"/>
    <n v="11"/>
    <s v="Web Scraping para Coleta de Dados nos Anais do ENEGEP"/>
    <s v="Encontro Nacional de Engenharia de Produção"/>
    <x v="1"/>
    <s v="NI"/>
    <n v="0"/>
    <x v="0"/>
  </r>
  <r>
    <x v="3"/>
    <n v="12"/>
    <s v="Converting Symmetric Cryptography to SAT Problems Using Model Checking Tools"/>
    <s v="Simpósio Brasileiro em Segurança da Informação e de Sistemas Computacionais"/>
    <x v="1"/>
    <s v="B1"/>
    <n v="1"/>
    <x v="0"/>
  </r>
  <r>
    <x v="3"/>
    <n v="13"/>
    <s v="Mineração de Opiniões com LIWC: abordagem prática sobre sistemas judiciais eletrônicos brasileiros"/>
    <s v="Brazilian Workshop on Social Network Analysis and Mining"/>
    <x v="32"/>
    <s v="B4"/>
    <n v="1"/>
    <x v="0"/>
  </r>
  <r>
    <x v="3"/>
    <n v="14"/>
    <s v="Automatic XML creation for Multisensorial Books"/>
    <s v="Latin American Conference on Learning Objects and Technologies"/>
    <x v="5"/>
    <s v="B2"/>
    <n v="1"/>
    <x v="0"/>
  </r>
  <r>
    <x v="3"/>
    <n v="15"/>
    <s v="Multisensorial Audiobooks"/>
    <s v="Latin American Conference on Learning Objects and Technologies"/>
    <x v="5"/>
    <s v="B2"/>
    <n v="1"/>
    <x v="0"/>
  </r>
  <r>
    <x v="3"/>
    <n v="16"/>
    <s v="Um Estudo Comparativo do Uso de Abordagens de Comitês de Regressão para Imputação hot-deck"/>
    <s v="Simpósio Brasileiro de Banco de Dados"/>
    <x v="33"/>
    <s v="A4"/>
    <n v="1"/>
    <x v="1"/>
  </r>
  <r>
    <x v="3"/>
    <n v="17"/>
    <s v="TilBOT: Robotic Tool to Multi Time-Lapse Videos"/>
    <s v="International Congress Excellence Awards"/>
    <x v="34"/>
    <s v="NI"/>
    <n v="0"/>
    <x v="0"/>
  </r>
  <r>
    <x v="3"/>
    <n v="18"/>
    <s v="Wind Turbine Fault Detection: A Semi-Supervised Learning Approach With Automatic Evolutionary Feature Selection"/>
    <s v="International Conference on Systems, Signals and Image Processing"/>
    <x v="28"/>
    <s v="B1"/>
    <n v="1"/>
    <x v="0"/>
  </r>
  <r>
    <x v="3"/>
    <n v="19"/>
    <s v="Um framework para Integração e Análise de Métodos de Detecção de Eventos em Séries Temporais"/>
    <s v="Simpósio Brasileiro de Banco de Dados"/>
    <x v="35"/>
    <s v="A4"/>
    <n v="1"/>
    <x v="1"/>
  </r>
  <r>
    <x v="3"/>
    <n v="20"/>
    <s v="EvolveDTree: Analyzing Student Dropout in Universities"/>
    <s v="International Conference on Systems, Signals and Image Processing"/>
    <x v="15"/>
    <s v="B1"/>
    <n v="1"/>
    <x v="0"/>
  </r>
  <r>
    <x v="3"/>
    <n v="21"/>
    <s v="Recent Advances in Overcoming the IndependenceAssumption in Adaptive Filtering Analyses"/>
    <s v="International Conference on Systems, Signals and Image Processing"/>
    <x v="36"/>
    <s v="B1"/>
    <n v="1"/>
    <x v="0"/>
  </r>
  <r>
    <x v="3"/>
    <n v="22"/>
    <s v="Interactive 360-degree Videos in Ginga-NCL Using Head-Mounted-Displays as Second Screen Devices"/>
    <s v="Brazilian Symposium on Multimedia and the Web"/>
    <x v="37"/>
    <s v="A4"/>
    <n v="1"/>
    <x v="1"/>
  </r>
  <r>
    <x v="3"/>
    <n v="23"/>
    <s v="Determinação de Rota Otimizada para Fiscalização Ambiental por Veículo Aéreo não Tripulado Utilizando Informações de Relevo"/>
    <s v="Simpósio Brasileiro de Pesquisa Operacional"/>
    <x v="38"/>
    <s v="B3"/>
    <n v="1"/>
    <x v="0"/>
  </r>
  <r>
    <x v="3"/>
    <n v="24"/>
    <s v="The role of the electrical vehicle in sustainable supply chains: a review"/>
    <s v="Ibero-American Congress of Smart Cities"/>
    <x v="1"/>
    <s v="B3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63882-AF10-4FC4-B422-E312AFB9E748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T4:U42" firstHeaderRow="1" firstDataRow="1" firstDataCol="1" rowPageCount="1" colPageCount="1"/>
  <pivotFields count="8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multipleItemSelectionAllowed="1" showAll="0">
      <items count="40">
        <item x="30"/>
        <item x="23"/>
        <item x="22"/>
        <item x="9"/>
        <item x="19"/>
        <item x="27"/>
        <item x="7"/>
        <item x="8"/>
        <item x="14"/>
        <item x="25"/>
        <item x="38"/>
        <item x="29"/>
        <item x="28"/>
        <item x="2"/>
        <item x="10"/>
        <item x="12"/>
        <item x="15"/>
        <item x="21"/>
        <item x="5"/>
        <item x="31"/>
        <item x="4"/>
        <item x="26"/>
        <item x="20"/>
        <item x="11"/>
        <item x="13"/>
        <item x="16"/>
        <item x="35"/>
        <item x="3"/>
        <item x="17"/>
        <item x="32"/>
        <item x="0"/>
        <item x="6"/>
        <item x="37"/>
        <item x="34"/>
        <item x="24"/>
        <item x="18"/>
        <item x="33"/>
        <item x="36"/>
        <item h="1" x="1"/>
        <item t="default"/>
      </items>
    </pivotField>
    <pivotField dataField="1" showAll="0"/>
    <pivotField showAll="0"/>
    <pivotField axis="axisPage" showAll="0">
      <items count="3">
        <item x="0"/>
        <item x="1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ageFields count="1">
    <pageField fld="7" hier="-1"/>
  </pageFields>
  <dataFields count="1">
    <dataField name="Count of Qualis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D8C94-BC56-49A5-8CFC-79D9698B4ED7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X4:Y25" firstHeaderRow="1" firstDataRow="1" firstDataCol="1" rowPageCount="1" colPageCount="1"/>
  <pivotFields count="8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0">
        <item x="30"/>
        <item x="23"/>
        <item x="22"/>
        <item x="9"/>
        <item x="19"/>
        <item x="27"/>
        <item x="7"/>
        <item x="8"/>
        <item x="14"/>
        <item x="25"/>
        <item x="38"/>
        <item x="29"/>
        <item x="28"/>
        <item x="2"/>
        <item x="10"/>
        <item x="12"/>
        <item x="15"/>
        <item x="21"/>
        <item x="5"/>
        <item x="31"/>
        <item x="4"/>
        <item x="26"/>
        <item x="20"/>
        <item x="11"/>
        <item x="13"/>
        <item x="16"/>
        <item x="35"/>
        <item x="3"/>
        <item x="17"/>
        <item x="32"/>
        <item x="0"/>
        <item x="6"/>
        <item x="37"/>
        <item x="34"/>
        <item x="24"/>
        <item x="18"/>
        <item x="33"/>
        <item x="36"/>
        <item h="1" x="1"/>
        <item t="default"/>
      </items>
    </pivotField>
    <pivotField dataField="1" showAll="0"/>
    <pivotField showAll="0"/>
    <pivotField axis="axisPage" showAll="0">
      <items count="3">
        <item x="0"/>
        <item x="1"/>
        <item t="default"/>
      </items>
    </pivotField>
  </pivotFields>
  <rowFields count="1">
    <field x="4"/>
  </rowFields>
  <rowItems count="21">
    <i>
      <x v="2"/>
    </i>
    <i>
      <x v="5"/>
    </i>
    <i>
      <x v="9"/>
    </i>
    <i>
      <x v="11"/>
    </i>
    <i>
      <x v="13"/>
    </i>
    <i>
      <x v="15"/>
    </i>
    <i>
      <x v="16"/>
    </i>
    <i>
      <x v="18"/>
    </i>
    <i>
      <x v="19"/>
    </i>
    <i>
      <x v="20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2"/>
    </i>
    <i>
      <x v="35"/>
    </i>
    <i>
      <x v="36"/>
    </i>
  </rowItems>
  <colItems count="1">
    <i/>
  </colItems>
  <pageFields count="1">
    <pageField fld="7" item="1" hier="-1"/>
  </pageFields>
  <dataFields count="1">
    <dataField name="Count of Qualis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1F02D-F62A-4848-9C77-AEA57A5CB22C}" name="Periodicos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P4:Q14" firstHeaderRow="1" firstDataRow="1" firstDataCol="1" rowPageCount="1" colPageCount="1"/>
  <pivotFields count="8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14">
        <item x="11"/>
        <item x="6"/>
        <item x="3"/>
        <item x="7"/>
        <item x="12"/>
        <item x="10"/>
        <item x="9"/>
        <item x="4"/>
        <item x="2"/>
        <item x="1"/>
        <item x="8"/>
        <item x="5"/>
        <item h="1" x="0"/>
        <item t="default"/>
      </items>
    </pivotField>
    <pivotField dataField="1" showAll="0" includeNewItemsInFilter="1"/>
    <pivotField showAll="0"/>
    <pivotField axis="axisPage" showAll="0">
      <items count="3">
        <item x="1"/>
        <item x="0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1"/>
    </i>
  </rowItems>
  <colItems count="1">
    <i/>
  </colItems>
  <pageFields count="1">
    <pageField fld="7" item="1" hier="-1"/>
  </pageFields>
  <dataFields count="1">
    <dataField name="Count of Qualis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A976E-375F-4295-8D1F-1EC3A030DD6F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L4:M16" firstHeaderRow="1" firstDataRow="1" firstDataCol="1" rowPageCount="1" colPageCount="1"/>
  <pivotFields count="8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14">
        <item x="11"/>
        <item x="6"/>
        <item x="3"/>
        <item x="7"/>
        <item x="12"/>
        <item x="10"/>
        <item x="9"/>
        <item x="4"/>
        <item x="2"/>
        <item x="1"/>
        <item x="8"/>
        <item x="5"/>
        <item h="1" x="0"/>
        <item t="default"/>
      </items>
    </pivotField>
    <pivotField dataField="1" showAll="0" includeNewItemsInFilter="1"/>
    <pivotField showAll="0"/>
    <pivotField axis="axisPage" showAll="0">
      <items count="3">
        <item x="1"/>
        <item x="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7" hier="-1"/>
  </pageFields>
  <dataFields count="1">
    <dataField name="Count of Qualis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12-15T13:49:46.81" personId="{00CEBA5B-A202-4F40-8400-D6A97160F961}" id="{93CA2012-8A72-4B7E-8762-1F1E078CBCB3}">
    <text>Fonte: https://www.scopus.com/sources.uri
- Buscar no campo "Title"
- Nos resultado da busca, consultar coluna "Highest Percentile"</text>
  </threadedComment>
  <threadedComment ref="A3" dT="2021-12-15T17:43:11.15" personId="{00CEBA5B-A202-4F40-8400-D6A97160F961}" id="{008FBAA3-3F92-4F74-8053-F304D616515D}">
    <text>jif não encontrado</text>
  </threadedComment>
  <threadedComment ref="A8" dT="2021-12-15T17:38:30.74" personId="{00CEBA5B-A202-4F40-8400-D6A97160F961}" id="{5B5C6FAB-E327-4997-9278-A7CABE938E60}">
    <text>não encontrada</text>
  </threadedComment>
  <threadedComment ref="A33" dT="2021-12-15T17:17:51.50" personId="{00CEBA5B-A202-4F40-8400-D6A97160F961}" id="{6514BDD3-B9B5-44D3-AE20-EF9724EC15B2}">
    <text xml:space="preserve">não encontrada </text>
  </threadedComment>
  <threadedComment ref="A35" dT="2021-12-15T19:49:40.02" personId="{00CEBA5B-A202-4F40-8400-D6A97160F961}" id="{988713D5-E566-4133-81A5-5F4F7315BEDC}">
    <text>JIF não encontrado.</text>
  </threadedComment>
  <threadedComment ref="A36" dT="2021-12-15T19:19:39.31" personId="{00CEBA5B-A202-4F40-8400-D6A97160F961}" id="{9985B1BF-1465-4251-8B17-C133EC0F9603}">
    <text>JIF não encontrado</text>
  </threadedComment>
  <threadedComment ref="A38" dT="2021-12-15T16:51:11.24" personId="{00CEBA5B-A202-4F40-8400-D6A97160F961}" id="{7B12771F-7EEE-49FB-8FFD-25F3EECF634F}">
    <text>não tinha JIF, só JCI. peguei este último</text>
  </threadedComment>
  <threadedComment ref="A39" dT="2021-12-15T19:16:49.87" personId="{00CEBA5B-A202-4F40-8400-D6A97160F961}" id="{1BF9A4EE-E7C3-4DDF-87E7-10DF4A3809ED}">
    <text>Não tem JIF, apenas JCI</text>
  </threadedComment>
  <threadedComment ref="A43" dT="2021-12-15T16:48:24.69" personId="{00CEBA5B-A202-4F40-8400-D6A97160F961}" id="{C0F648EC-C5C4-4D8B-80C8-9FDC38BF4262}">
    <text>ano mais recente era 1998!</text>
  </threadedComment>
  <threadedComment ref="A51" dT="2021-12-15T16:42:11.47" personId="{00CEBA5B-A202-4F40-8400-D6A97160F961}" id="{78043B1C-8B5A-49DB-AF7B-1938CCCD2035}">
    <text>não encontrada</text>
  </threadedComment>
  <threadedComment ref="A55" dT="2021-12-15T16:41:14.19" personId="{00CEBA5B-A202-4F40-8400-D6A97160F961}" id="{2C4A536C-16D7-4A12-B8BA-77D999E0A619}">
    <text>não encontrada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0" dT="2021-12-18T18:13:07.66" personId="{7ADF097D-DDA5-46A4-8219-02E316BAD2ED}" id="{A00D9871-48D6-46AF-84F8-48512E259A1F}">
    <text>são esses valores mesmo?</text>
  </threadedComment>
  <threadedComment ref="D10" dT="2021-12-15T18:12:19.77" personId="{00CEBA5B-A202-4F40-8400-D6A97160F961}" id="{08A611B7-9235-4324-8616-CE47293553ED}">
    <text>adicionei essa linha pq estava dando erro em fórmulas de LPeriodicos.
confirmar os valores que definir nessa linha.</text>
  </threadedComment>
  <threadedComment ref="E10" dT="2021-12-18T18:03:11.58" personId="{7ADF097D-DDA5-46A4-8219-02E316BAD2ED}" id="{DE8E5E87-9EA4-441F-88D0-013946F46B32}">
    <text>Que valores preencher aqui?</text>
  </threadedComment>
  <threadedComment ref="D11" dT="2021-12-15T18:13:45.49" personId="{00CEBA5B-A202-4F40-8400-D6A97160F961}" id="{4998AAC7-31C4-46F8-9838-D07296901FCF}">
    <text>O C antes estava associado com o valor 8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1-12-18T19:04:42.38" personId="{7ADF097D-DDA5-46A4-8219-02E316BAD2ED}" id="{8DE8CD54-DF05-40F8-9B10-61CEB6DF627C}">
    <text>atualizar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opus.com/authid/detail.uri?authorId=56119522800" TargetMode="External"/><Relationship Id="rId13" Type="http://schemas.openxmlformats.org/officeDocument/2006/relationships/hyperlink" Target="https://www.scopus.com/authid/detail.uri?authorId=15753781000" TargetMode="External"/><Relationship Id="rId18" Type="http://schemas.openxmlformats.org/officeDocument/2006/relationships/hyperlink" Target="https://www.scopus.com/authid/detail.uri?authorId=36175635600" TargetMode="External"/><Relationship Id="rId26" Type="http://schemas.openxmlformats.org/officeDocument/2006/relationships/hyperlink" Target="http://www.researcherid.com/rid/H-3227-2018" TargetMode="External"/><Relationship Id="rId39" Type="http://schemas.openxmlformats.org/officeDocument/2006/relationships/hyperlink" Target="http://www.researcherid.com/rid/Q-4514-2017" TargetMode="External"/><Relationship Id="rId3" Type="http://schemas.openxmlformats.org/officeDocument/2006/relationships/hyperlink" Target="http://www.researcherid.com/rid/N-6438-2014" TargetMode="External"/><Relationship Id="rId21" Type="http://schemas.openxmlformats.org/officeDocument/2006/relationships/hyperlink" Target="https://scholar.google.com.br/citations?user=Fc2hY1AAAAAJ" TargetMode="External"/><Relationship Id="rId34" Type="http://schemas.openxmlformats.org/officeDocument/2006/relationships/hyperlink" Target="https://scholar.google.com/citations?user=pNL2V2sAAAAJ" TargetMode="External"/><Relationship Id="rId42" Type="http://schemas.openxmlformats.org/officeDocument/2006/relationships/hyperlink" Target="https://publons.com/researcher/5118168/diogo-silveira-mendonca" TargetMode="External"/><Relationship Id="rId7" Type="http://schemas.openxmlformats.org/officeDocument/2006/relationships/hyperlink" Target="https://scholar.google.com.br/citations?user=4AwT7X8AAAAJ" TargetMode="External"/><Relationship Id="rId12" Type="http://schemas.openxmlformats.org/officeDocument/2006/relationships/hyperlink" Target="https://scholar.google.com.br/citations?user=XF-fXTAAAAAJ" TargetMode="External"/><Relationship Id="rId17" Type="http://schemas.openxmlformats.org/officeDocument/2006/relationships/hyperlink" Target="https://scholar.google.com.br/citations?user=fYjzAYMAAAAJ" TargetMode="External"/><Relationship Id="rId25" Type="http://schemas.openxmlformats.org/officeDocument/2006/relationships/hyperlink" Target="https://www.scopus.com/authid/detail.uri?authorId=57076135000" TargetMode="External"/><Relationship Id="rId33" Type="http://schemas.openxmlformats.org/officeDocument/2006/relationships/hyperlink" Target="https://scholar.google.com.br/citations?user=kJT37q4AAAAJ" TargetMode="External"/><Relationship Id="rId38" Type="http://schemas.openxmlformats.org/officeDocument/2006/relationships/hyperlink" Target="http://www.researcherid.com/rid/F-6102-2015" TargetMode="External"/><Relationship Id="rId2" Type="http://schemas.openxmlformats.org/officeDocument/2006/relationships/hyperlink" Target="https://www.scopus.com/authid/detail.uri?authorId=33368211600" TargetMode="External"/><Relationship Id="rId16" Type="http://schemas.openxmlformats.org/officeDocument/2006/relationships/hyperlink" Target="http://www.researcherid.com/rid/P-4281-2016" TargetMode="External"/><Relationship Id="rId20" Type="http://schemas.openxmlformats.org/officeDocument/2006/relationships/hyperlink" Target="https://scholar.google.com.br/citations?user=IA70H1UAAAAJ" TargetMode="External"/><Relationship Id="rId29" Type="http://schemas.openxmlformats.org/officeDocument/2006/relationships/hyperlink" Target="http://www.researcherid.com/rid/H-2402-2018" TargetMode="External"/><Relationship Id="rId41" Type="http://schemas.openxmlformats.org/officeDocument/2006/relationships/hyperlink" Target="https://www.scopus.com/authid/detail.uri?authorId=57205767413" TargetMode="External"/><Relationship Id="rId1" Type="http://schemas.openxmlformats.org/officeDocument/2006/relationships/hyperlink" Target="https://scholar.google.com.br/citations?user=uloLWtgAAAAJ" TargetMode="External"/><Relationship Id="rId6" Type="http://schemas.openxmlformats.org/officeDocument/2006/relationships/hyperlink" Target="http://www.researcherid.com/rid/A-5553-2018" TargetMode="External"/><Relationship Id="rId11" Type="http://schemas.openxmlformats.org/officeDocument/2006/relationships/hyperlink" Target="https://www.scopus.com/authid/detail.uri?authorId=56160998600" TargetMode="External"/><Relationship Id="rId24" Type="http://schemas.openxmlformats.org/officeDocument/2006/relationships/hyperlink" Target="https://scholar.google.com.br/citations?user=nZfS3qoAAAAJ" TargetMode="External"/><Relationship Id="rId32" Type="http://schemas.openxmlformats.org/officeDocument/2006/relationships/hyperlink" Target="https://www.scopus.com/authid/detail.uri?authorId=57204646715" TargetMode="External"/><Relationship Id="rId37" Type="http://schemas.openxmlformats.org/officeDocument/2006/relationships/hyperlink" Target="http://www.researcherid.com/rid/O-3981-2018" TargetMode="External"/><Relationship Id="rId40" Type="http://schemas.openxmlformats.org/officeDocument/2006/relationships/hyperlink" Target="https://scholar.google.com/citations?user=bwkYcu4AAAAJ&amp;hl=pt-BR" TargetMode="External"/><Relationship Id="rId5" Type="http://schemas.openxmlformats.org/officeDocument/2006/relationships/hyperlink" Target="https://www.scopus.com/authid/detail.uri?authorId=56121141300" TargetMode="External"/><Relationship Id="rId15" Type="http://schemas.openxmlformats.org/officeDocument/2006/relationships/hyperlink" Target="https://www.scopus.com/authid/detail.uri?authorId=32867459900" TargetMode="External"/><Relationship Id="rId23" Type="http://schemas.openxmlformats.org/officeDocument/2006/relationships/hyperlink" Target="http://www.researcherid.com/rid/H-3218-2018" TargetMode="External"/><Relationship Id="rId28" Type="http://schemas.openxmlformats.org/officeDocument/2006/relationships/hyperlink" Target="https://www.scopus.com/authid/detail.uri?authorId=6506097045" TargetMode="External"/><Relationship Id="rId36" Type="http://schemas.openxmlformats.org/officeDocument/2006/relationships/hyperlink" Target="https://www.scopus.com/authid/detail.uri?authorId=55953969800" TargetMode="External"/><Relationship Id="rId10" Type="http://schemas.openxmlformats.org/officeDocument/2006/relationships/hyperlink" Target="https://scholar.google.com.br/citations?user=KLgK4c4AAAAJ" TargetMode="External"/><Relationship Id="rId19" Type="http://schemas.openxmlformats.org/officeDocument/2006/relationships/hyperlink" Target="http://www.researcherid.com/rid/O-6246-2016" TargetMode="External"/><Relationship Id="rId31" Type="http://schemas.openxmlformats.org/officeDocument/2006/relationships/hyperlink" Target="http://www.researcherid.com/rid/AAC-4169-2019" TargetMode="External"/><Relationship Id="rId4" Type="http://schemas.openxmlformats.org/officeDocument/2006/relationships/hyperlink" Target="https://scholar.google.com.br/citations?user=nz-6EN4AAAAJ" TargetMode="External"/><Relationship Id="rId9" Type="http://schemas.openxmlformats.org/officeDocument/2006/relationships/hyperlink" Target="http://www.researcherid.com/rid/O-8069-2016" TargetMode="External"/><Relationship Id="rId14" Type="http://schemas.openxmlformats.org/officeDocument/2006/relationships/hyperlink" Target="https://scholar.google.com.br/citations?user=pBQVTUkAAAAJ" TargetMode="External"/><Relationship Id="rId22" Type="http://schemas.openxmlformats.org/officeDocument/2006/relationships/hyperlink" Target="https://www.scopus.com/authid/detail.uri?authorId=56019958100" TargetMode="External"/><Relationship Id="rId27" Type="http://schemas.openxmlformats.org/officeDocument/2006/relationships/hyperlink" Target="https://scholar.google.com.br/citations?user=WQflRMIAAAAJ" TargetMode="External"/><Relationship Id="rId30" Type="http://schemas.openxmlformats.org/officeDocument/2006/relationships/hyperlink" Target="https://www.scopus.com/authid/detail.uri?authorId=6603959869" TargetMode="External"/><Relationship Id="rId35" Type="http://schemas.openxmlformats.org/officeDocument/2006/relationships/hyperlink" Target="https://publons.com/researcher/V-2663-2018/" TargetMode="External"/><Relationship Id="rId43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pivotTable" Target="../pivotTables/pivotTable3.xml"/><Relationship Id="rId7" Type="http://schemas.openxmlformats.org/officeDocument/2006/relationships/comments" Target="../comments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1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0E33-B360-AB4C-9B50-99DC8F54DB28}">
  <dimension ref="B2:AC40"/>
  <sheetViews>
    <sheetView topLeftCell="I1" workbookViewId="0">
      <selection activeCell="O33" sqref="O33"/>
    </sheetView>
  </sheetViews>
  <sheetFormatPr defaultColWidth="10.875" defaultRowHeight="15.75" x14ac:dyDescent="0.25"/>
  <cols>
    <col min="1" max="13" width="10.875" style="72"/>
    <col min="14" max="16" width="10.875" style="72" customWidth="1"/>
    <col min="17" max="16384" width="10.875" style="72"/>
  </cols>
  <sheetData>
    <row r="2" spans="2:29" x14ac:dyDescent="0.25">
      <c r="C2" s="151" t="s">
        <v>652</v>
      </c>
      <c r="D2" s="151"/>
      <c r="E2" s="151">
        <v>2021</v>
      </c>
      <c r="F2" s="151"/>
      <c r="G2" s="151">
        <v>2022</v>
      </c>
      <c r="H2" s="151"/>
      <c r="I2" s="151">
        <v>2023</v>
      </c>
      <c r="J2" s="151"/>
      <c r="K2" s="151">
        <v>2024</v>
      </c>
      <c r="L2" s="151"/>
      <c r="O2" s="151" t="s">
        <v>652</v>
      </c>
      <c r="P2" s="151"/>
      <c r="Q2" s="151">
        <v>2021</v>
      </c>
      <c r="R2" s="151"/>
      <c r="S2" s="151">
        <v>2022</v>
      </c>
      <c r="T2" s="151"/>
      <c r="U2" s="151">
        <v>2023</v>
      </c>
      <c r="V2" s="151"/>
      <c r="W2" s="151">
        <v>2024</v>
      </c>
      <c r="X2" s="151"/>
    </row>
    <row r="3" spans="2:29" x14ac:dyDescent="0.25">
      <c r="B3" s="147"/>
      <c r="C3" s="116" t="s">
        <v>653</v>
      </c>
      <c r="D3" s="116" t="s">
        <v>654</v>
      </c>
      <c r="E3" s="116" t="s">
        <v>653</v>
      </c>
      <c r="F3" s="116" t="s">
        <v>654</v>
      </c>
      <c r="G3" s="116" t="s">
        <v>653</v>
      </c>
      <c r="H3" s="116" t="s">
        <v>654</v>
      </c>
      <c r="I3" s="116" t="s">
        <v>653</v>
      </c>
      <c r="J3" s="116" t="s">
        <v>654</v>
      </c>
      <c r="K3" s="116" t="s">
        <v>653</v>
      </c>
      <c r="L3" s="116" t="s">
        <v>654</v>
      </c>
      <c r="N3" s="147"/>
      <c r="O3" s="116" t="s">
        <v>699</v>
      </c>
      <c r="P3" s="116" t="s">
        <v>654</v>
      </c>
      <c r="Q3" s="116" t="s">
        <v>699</v>
      </c>
      <c r="R3" s="116" t="s">
        <v>654</v>
      </c>
      <c r="S3" s="116" t="s">
        <v>699</v>
      </c>
      <c r="T3" s="116" t="s">
        <v>654</v>
      </c>
      <c r="U3" s="116" t="s">
        <v>699</v>
      </c>
      <c r="V3" s="116" t="s">
        <v>654</v>
      </c>
      <c r="W3" s="116" t="s">
        <v>699</v>
      </c>
      <c r="X3" s="116" t="s">
        <v>654</v>
      </c>
      <c r="AA3" s="147"/>
      <c r="AB3" s="116" t="s">
        <v>650</v>
      </c>
      <c r="AC3" s="116" t="s">
        <v>651</v>
      </c>
    </row>
    <row r="4" spans="2:29" x14ac:dyDescent="0.25">
      <c r="B4" s="92" t="s">
        <v>302</v>
      </c>
      <c r="C4" s="92">
        <f>COUNTIF(Conferencias!$F:$F,$B4)</f>
        <v>3</v>
      </c>
      <c r="D4" s="92">
        <f>COUNTIFS(Conferencias!$F:$F,$B4,Conferencias!$I:$I,1)</f>
        <v>3</v>
      </c>
      <c r="E4" s="92">
        <f>COUNTIFS(Conferencias!$F:$F,$B4,Conferencias!$A:$A,$E$2)</f>
        <v>1</v>
      </c>
      <c r="F4" s="92">
        <f>COUNTIFS(Conferencias!$F:$F,$B4,Conferencias!$I:$I,1,Conferencias!$A:$A,$E$2)</f>
        <v>1</v>
      </c>
      <c r="G4" s="92">
        <f>COUNTIFS(Conferencias!$F:$F,$B4,Conferencias!$A:$A,G$2)</f>
        <v>2</v>
      </c>
      <c r="H4" s="92">
        <f>COUNTIFS(Conferencias!$F:$F,$B4,Conferencias!$I:$I,1,Conferencias!$A:$A,G$2)</f>
        <v>2</v>
      </c>
      <c r="I4" s="92">
        <f>COUNTIFS(Conferencias!$F:$F,$B4,Conferencias!$A:$A,I$2)</f>
        <v>0</v>
      </c>
      <c r="J4" s="92">
        <f>COUNTIFS(Conferencias!$F:$F,$B4,Conferencias!$I:$I,1,Conferencias!$A:$A,I$2)</f>
        <v>0</v>
      </c>
      <c r="K4" s="92">
        <f>COUNTIFS(Conferencias!$F:$F,$B4,Conferencias!$A:$A,K$2)</f>
        <v>0</v>
      </c>
      <c r="L4" s="92">
        <f>COUNTIFS(Conferencias!$F:$F,$B4,Conferencias!$I:$I,1,Conferencias!$A:$A,K$2)</f>
        <v>0</v>
      </c>
      <c r="N4" s="92" t="s">
        <v>302</v>
      </c>
      <c r="O4" s="93">
        <f>COUNTIF(Periodicos!$F:$F,$N4)</f>
        <v>9</v>
      </c>
      <c r="P4" s="93">
        <f>COUNTIFS(Periodicos!$F:$F,$N4,Periodicos!$I:$I,1)</f>
        <v>3</v>
      </c>
      <c r="Q4" s="93">
        <f>COUNTIFS(Periodicos!$F:$F,$N4,Periodicos!$A:$A,Q$2)</f>
        <v>8</v>
      </c>
      <c r="R4" s="93">
        <f>COUNTIFS(Periodicos!$F:$F,$N4,Periodicos!$I:$I,1,Periodicos!$A:$A,Q$2)</f>
        <v>3</v>
      </c>
      <c r="S4" s="93">
        <f>COUNTIFS(Periodicos!$F:$F,$N4,Periodicos!$A:$A,S$2)</f>
        <v>1</v>
      </c>
      <c r="T4" s="93">
        <f>COUNTIFS(Periodicos!$F:$F,$N4,Periodicos!$I:$I,1,Periodicos!$A:$A,S$2)</f>
        <v>0</v>
      </c>
      <c r="U4" s="93">
        <f>COUNTIFS(Periodicos!$F:$F,$N4,Periodicos!$A:$A,U$2)</f>
        <v>0</v>
      </c>
      <c r="V4" s="93">
        <f>COUNTIFS(Periodicos!$F:$F,$N4,Periodicos!$I:$I,1,Periodicos!$A:$A,U$2)</f>
        <v>0</v>
      </c>
      <c r="W4" s="93">
        <f>COUNTIFS(Periodicos!$F:$F,$N4,Periodicos!$A:$A,W$2)</f>
        <v>0</v>
      </c>
      <c r="X4" s="93">
        <f>COUNTIFS(Periodicos!$F:$F,$N4,Periodicos!$I:$I,1,Periodicos!$A:$A,W$2)</f>
        <v>0</v>
      </c>
      <c r="AA4" s="93" t="s">
        <v>302</v>
      </c>
      <c r="AB4" s="93">
        <f t="shared" ref="AB4:AB12" si="0">O4</f>
        <v>9</v>
      </c>
      <c r="AC4" s="93">
        <f t="shared" ref="AC4:AC12" si="1">C4</f>
        <v>3</v>
      </c>
    </row>
    <row r="5" spans="2:29" x14ac:dyDescent="0.25">
      <c r="B5" s="92" t="s">
        <v>276</v>
      </c>
      <c r="C5" s="92">
        <f>COUNTIF(Conferencias!$F:$F,$B5)</f>
        <v>2</v>
      </c>
      <c r="D5" s="92">
        <f>COUNTIFS(Conferencias!$F:$F,$B5,Conferencias!$I:$I,1)</f>
        <v>2</v>
      </c>
      <c r="E5" s="92">
        <f>COUNTIFS(Conferencias!$F:$F,$B5,Conferencias!$A:$A,$E$2)</f>
        <v>0</v>
      </c>
      <c r="F5" s="92">
        <f>COUNTIFS(Conferencias!$F:$F,$B5,Conferencias!$I:$I,1,Conferencias!$A:$A,$E$2)</f>
        <v>0</v>
      </c>
      <c r="G5" s="92">
        <f>COUNTIFS(Conferencias!$F:$F,$B5,Conferencias!$A:$A,G$2)</f>
        <v>2</v>
      </c>
      <c r="H5" s="92">
        <f>COUNTIFS(Conferencias!$F:$F,$B5,Conferencias!$I:$I,1,Conferencias!$A:$A,G$2)</f>
        <v>2</v>
      </c>
      <c r="I5" s="92">
        <f>COUNTIFS(Conferencias!$F:$F,$B5,Conferencias!$A:$A,I$2)</f>
        <v>0</v>
      </c>
      <c r="J5" s="92">
        <f>COUNTIFS(Conferencias!$F:$F,$B5,Conferencias!$I:$I,1,Conferencias!$A:$A,I$2)</f>
        <v>0</v>
      </c>
      <c r="K5" s="92">
        <f>COUNTIFS(Conferencias!$F:$F,$B5,Conferencias!$A:$A,K$2)</f>
        <v>0</v>
      </c>
      <c r="L5" s="92">
        <f>COUNTIFS(Conferencias!$F:$F,$B5,Conferencias!$I:$I,1,Conferencias!$A:$A,K$2)</f>
        <v>0</v>
      </c>
      <c r="N5" s="92" t="s">
        <v>276</v>
      </c>
      <c r="O5" s="93">
        <f>COUNTIF(Periodicos!$F:$F,$N5)</f>
        <v>12</v>
      </c>
      <c r="P5" s="93">
        <f>COUNTIFS(Periodicos!$F:$F,$N5,Periodicos!$I:$I,1)</f>
        <v>4</v>
      </c>
      <c r="Q5" s="93">
        <f>COUNTIFS(Periodicos!$F:$F,$N5,Periodicos!$A:$A,Q$2)</f>
        <v>11</v>
      </c>
      <c r="R5" s="93">
        <f>COUNTIFS(Periodicos!$F:$F,$N5,Periodicos!$I:$I,1,Periodicos!$A:$A,Q$2)</f>
        <v>3</v>
      </c>
      <c r="S5" s="93">
        <f>COUNTIFS(Periodicos!$F:$F,$N5,Periodicos!$A:$A,S$2)</f>
        <v>1</v>
      </c>
      <c r="T5" s="93">
        <f>COUNTIFS(Periodicos!$F:$F,$N5,Periodicos!$I:$I,1,Periodicos!$A:$A,S$2)</f>
        <v>1</v>
      </c>
      <c r="U5" s="93">
        <f>COUNTIFS(Periodicos!$F:$F,$N5,Periodicos!$A:$A,U$2)</f>
        <v>0</v>
      </c>
      <c r="V5" s="93">
        <f>COUNTIFS(Periodicos!$F:$F,$N5,Periodicos!$I:$I,1,Periodicos!$A:$A,U$2)</f>
        <v>0</v>
      </c>
      <c r="W5" s="93">
        <f>COUNTIFS(Periodicos!$F:$F,$N5,Periodicos!$A:$A,W$2)</f>
        <v>0</v>
      </c>
      <c r="X5" s="93">
        <f>COUNTIFS(Periodicos!$F:$F,$N5,Periodicos!$I:$I,1,Periodicos!$A:$A,W$2)</f>
        <v>0</v>
      </c>
      <c r="AA5" s="93" t="s">
        <v>276</v>
      </c>
      <c r="AB5" s="93">
        <f t="shared" si="0"/>
        <v>12</v>
      </c>
      <c r="AC5" s="93">
        <f t="shared" si="1"/>
        <v>2</v>
      </c>
    </row>
    <row r="6" spans="2:29" x14ac:dyDescent="0.25">
      <c r="B6" s="92" t="s">
        <v>299</v>
      </c>
      <c r="C6" s="92">
        <f>COUNTIF(Conferencias!$F:$F,$B6)</f>
        <v>3</v>
      </c>
      <c r="D6" s="92">
        <f>COUNTIFS(Conferencias!$F:$F,$B6,Conferencias!$I:$I,1)</f>
        <v>2</v>
      </c>
      <c r="E6" s="92">
        <f>COUNTIFS(Conferencias!$F:$F,$B6,Conferencias!$A:$A,$E$2)</f>
        <v>2</v>
      </c>
      <c r="F6" s="92">
        <f>COUNTIFS(Conferencias!$F:$F,$B6,Conferencias!$I:$I,1,Conferencias!$A:$A,$E$2)</f>
        <v>1</v>
      </c>
      <c r="G6" s="92">
        <f>COUNTIFS(Conferencias!$F:$F,$B6,Conferencias!$A:$A,G$2)</f>
        <v>1</v>
      </c>
      <c r="H6" s="92">
        <f>COUNTIFS(Conferencias!$F:$F,$B6,Conferencias!$I:$I,1,Conferencias!$A:$A,G$2)</f>
        <v>1</v>
      </c>
      <c r="I6" s="92">
        <f>COUNTIFS(Conferencias!$F:$F,$B6,Conferencias!$A:$A,I$2)</f>
        <v>0</v>
      </c>
      <c r="J6" s="92">
        <f>COUNTIFS(Conferencias!$F:$F,$B6,Conferencias!$I:$I,1,Conferencias!$A:$A,I$2)</f>
        <v>0</v>
      </c>
      <c r="K6" s="92">
        <f>COUNTIFS(Conferencias!$F:$F,$B6,Conferencias!$A:$A,K$2)</f>
        <v>0</v>
      </c>
      <c r="L6" s="92">
        <f>COUNTIFS(Conferencias!$F:$F,$B6,Conferencias!$I:$I,1,Conferencias!$A:$A,K$2)</f>
        <v>0</v>
      </c>
      <c r="N6" s="92" t="s">
        <v>299</v>
      </c>
      <c r="O6" s="93">
        <f>COUNTIF(Periodicos!$F:$F,$N6)</f>
        <v>5</v>
      </c>
      <c r="P6" s="93">
        <f>COUNTIFS(Periodicos!$F:$F,$N6,Periodicos!$I:$I,1)</f>
        <v>1</v>
      </c>
      <c r="Q6" s="93">
        <f>COUNTIFS(Periodicos!$F:$F,$N6,Periodicos!$A:$A,Q$2)</f>
        <v>3</v>
      </c>
      <c r="R6" s="93">
        <f>COUNTIFS(Periodicos!$F:$F,$N6,Periodicos!$I:$I,1,Periodicos!$A:$A,Q$2)</f>
        <v>0</v>
      </c>
      <c r="S6" s="93">
        <f>COUNTIFS(Periodicos!$F:$F,$N6,Periodicos!$A:$A,S$2)</f>
        <v>2</v>
      </c>
      <c r="T6" s="93">
        <f>COUNTIFS(Periodicos!$F:$F,$N6,Periodicos!$I:$I,1,Periodicos!$A:$A,S$2)</f>
        <v>1</v>
      </c>
      <c r="U6" s="93">
        <f>COUNTIFS(Periodicos!$F:$F,$N6,Periodicos!$A:$A,U$2)</f>
        <v>0</v>
      </c>
      <c r="V6" s="93">
        <f>COUNTIFS(Periodicos!$F:$F,$N6,Periodicos!$I:$I,1,Periodicos!$A:$A,U$2)</f>
        <v>0</v>
      </c>
      <c r="W6" s="93">
        <f>COUNTIFS(Periodicos!$F:$F,$N6,Periodicos!$A:$A,W$2)</f>
        <v>0</v>
      </c>
      <c r="X6" s="93">
        <f>COUNTIFS(Periodicos!$F:$F,$N6,Periodicos!$I:$I,1,Periodicos!$A:$A,W$2)</f>
        <v>0</v>
      </c>
      <c r="AA6" s="93" t="s">
        <v>299</v>
      </c>
      <c r="AB6" s="93">
        <f t="shared" si="0"/>
        <v>5</v>
      </c>
      <c r="AC6" s="93">
        <f t="shared" si="1"/>
        <v>3</v>
      </c>
    </row>
    <row r="7" spans="2:29" x14ac:dyDescent="0.25">
      <c r="B7" s="92" t="s">
        <v>280</v>
      </c>
      <c r="C7" s="92">
        <f>COUNTIF(Conferencias!$F:$F,$B7)</f>
        <v>14</v>
      </c>
      <c r="D7" s="92">
        <f>COUNTIFS(Conferencias!$F:$F,$B7,Conferencias!$I:$I,1)</f>
        <v>12</v>
      </c>
      <c r="E7" s="92">
        <f>COUNTIFS(Conferencias!$F:$F,$B7,Conferencias!$A:$A,$E$2)</f>
        <v>8</v>
      </c>
      <c r="F7" s="92">
        <f>COUNTIFS(Conferencias!$F:$F,$B7,Conferencias!$I:$I,1,Conferencias!$A:$A,$E$2)</f>
        <v>8</v>
      </c>
      <c r="G7" s="92">
        <f>COUNTIFS(Conferencias!$F:$F,$B7,Conferencias!$A:$A,G$2)</f>
        <v>6</v>
      </c>
      <c r="H7" s="92">
        <f>COUNTIFS(Conferencias!$F:$F,$B7,Conferencias!$I:$I,1,Conferencias!$A:$A,G$2)</f>
        <v>4</v>
      </c>
      <c r="I7" s="92">
        <f>COUNTIFS(Conferencias!$F:$F,$B7,Conferencias!$A:$A,I$2)</f>
        <v>0</v>
      </c>
      <c r="J7" s="92">
        <f>COUNTIFS(Conferencias!$F:$F,$B7,Conferencias!$I:$I,1,Conferencias!$A:$A,I$2)</f>
        <v>0</v>
      </c>
      <c r="K7" s="92">
        <f>COUNTIFS(Conferencias!$F:$F,$B7,Conferencias!$A:$A,K$2)</f>
        <v>0</v>
      </c>
      <c r="L7" s="92">
        <f>COUNTIFS(Conferencias!$F:$F,$B7,Conferencias!$I:$I,1,Conferencias!$A:$A,K$2)</f>
        <v>0</v>
      </c>
      <c r="N7" s="92" t="s">
        <v>280</v>
      </c>
      <c r="O7" s="93">
        <f>COUNTIF(Periodicos!$F:$F,$N7)</f>
        <v>2</v>
      </c>
      <c r="P7" s="93">
        <f>COUNTIFS(Periodicos!$F:$F,$N7,Periodicos!$I:$I,1)</f>
        <v>2</v>
      </c>
      <c r="Q7" s="93">
        <f>COUNTIFS(Periodicos!$F:$F,$N7,Periodicos!$A:$A,Q$2)</f>
        <v>1</v>
      </c>
      <c r="R7" s="93">
        <f>COUNTIFS(Periodicos!$F:$F,$N7,Periodicos!$I:$I,1,Periodicos!$A:$A,Q$2)</f>
        <v>1</v>
      </c>
      <c r="S7" s="93">
        <f>COUNTIFS(Periodicos!$F:$F,$N7,Periodicos!$A:$A,S$2)</f>
        <v>1</v>
      </c>
      <c r="T7" s="93">
        <f>COUNTIFS(Periodicos!$F:$F,$N7,Periodicos!$I:$I,1,Periodicos!$A:$A,S$2)</f>
        <v>1</v>
      </c>
      <c r="U7" s="93">
        <f>COUNTIFS(Periodicos!$F:$F,$N7,Periodicos!$A:$A,U$2)</f>
        <v>0</v>
      </c>
      <c r="V7" s="93">
        <f>COUNTIFS(Periodicos!$F:$F,$N7,Periodicos!$I:$I,1,Periodicos!$A:$A,U$2)</f>
        <v>0</v>
      </c>
      <c r="W7" s="93">
        <f>COUNTIFS(Periodicos!$F:$F,$N7,Periodicos!$A:$A,W$2)</f>
        <v>0</v>
      </c>
      <c r="X7" s="93">
        <f>COUNTIFS(Periodicos!$F:$F,$N7,Periodicos!$I:$I,1,Periodicos!$A:$A,W$2)</f>
        <v>0</v>
      </c>
      <c r="AA7" s="93" t="s">
        <v>280</v>
      </c>
      <c r="AB7" s="93">
        <f t="shared" si="0"/>
        <v>2</v>
      </c>
      <c r="AC7" s="93">
        <f t="shared" si="1"/>
        <v>14</v>
      </c>
    </row>
    <row r="8" spans="2:29" x14ac:dyDescent="0.25">
      <c r="B8" s="92" t="s">
        <v>278</v>
      </c>
      <c r="C8" s="92">
        <f>COUNTIF(Conferencias!$F:$F,$B8)</f>
        <v>4</v>
      </c>
      <c r="D8" s="92">
        <f>COUNTIFS(Conferencias!$F:$F,$B8,Conferencias!$I:$I,1)</f>
        <v>3</v>
      </c>
      <c r="E8" s="92">
        <f>COUNTIFS(Conferencias!$F:$F,$B8,Conferencias!$A:$A,$E$2)</f>
        <v>2</v>
      </c>
      <c r="F8" s="92">
        <f>COUNTIFS(Conferencias!$F:$F,$B8,Conferencias!$I:$I,1,Conferencias!$A:$A,$E$2)</f>
        <v>1</v>
      </c>
      <c r="G8" s="92">
        <f>COUNTIFS(Conferencias!$F:$F,$B8,Conferencias!$A:$A,G$2)</f>
        <v>2</v>
      </c>
      <c r="H8" s="92">
        <f>COUNTIFS(Conferencias!$F:$F,$B8,Conferencias!$I:$I,1,Conferencias!$A:$A,G$2)</f>
        <v>2</v>
      </c>
      <c r="I8" s="92">
        <f>COUNTIFS(Conferencias!$F:$F,$B8,Conferencias!$A:$A,I$2)</f>
        <v>0</v>
      </c>
      <c r="J8" s="92">
        <f>COUNTIFS(Conferencias!$F:$F,$B8,Conferencias!$I:$I,1,Conferencias!$A:$A,I$2)</f>
        <v>0</v>
      </c>
      <c r="K8" s="92">
        <f>COUNTIFS(Conferencias!$F:$F,$B8,Conferencias!$A:$A,K$2)</f>
        <v>0</v>
      </c>
      <c r="L8" s="92">
        <f>COUNTIFS(Conferencias!$F:$F,$B8,Conferencias!$I:$I,1,Conferencias!$A:$A,K$2)</f>
        <v>0</v>
      </c>
      <c r="N8" s="92" t="s">
        <v>278</v>
      </c>
      <c r="O8" s="93">
        <f>COUNTIF(Periodicos!$F:$F,$N8)</f>
        <v>8</v>
      </c>
      <c r="P8" s="93">
        <f>COUNTIFS(Periodicos!$F:$F,$N8,Periodicos!$I:$I,1)</f>
        <v>6</v>
      </c>
      <c r="Q8" s="93">
        <f>COUNTIFS(Periodicos!$F:$F,$N8,Periodicos!$A:$A,Q$2)</f>
        <v>7</v>
      </c>
      <c r="R8" s="93">
        <f>COUNTIFS(Periodicos!$F:$F,$N8,Periodicos!$I:$I,1,Periodicos!$A:$A,Q$2)</f>
        <v>5</v>
      </c>
      <c r="S8" s="93">
        <f>COUNTIFS(Periodicos!$F:$F,$N8,Periodicos!$A:$A,S$2)</f>
        <v>1</v>
      </c>
      <c r="T8" s="93">
        <f>COUNTIFS(Periodicos!$F:$F,$N8,Periodicos!$I:$I,1,Periodicos!$A:$A,S$2)</f>
        <v>1</v>
      </c>
      <c r="U8" s="93">
        <f>COUNTIFS(Periodicos!$F:$F,$N8,Periodicos!$A:$A,U$2)</f>
        <v>0</v>
      </c>
      <c r="V8" s="93">
        <f>COUNTIFS(Periodicos!$F:$F,$N8,Periodicos!$I:$I,1,Periodicos!$A:$A,U$2)</f>
        <v>0</v>
      </c>
      <c r="W8" s="93">
        <f>COUNTIFS(Periodicos!$F:$F,$N8,Periodicos!$A:$A,W$2)</f>
        <v>0</v>
      </c>
      <c r="X8" s="93">
        <f>COUNTIFS(Periodicos!$F:$F,$N8,Periodicos!$I:$I,1,Periodicos!$A:$A,W$2)</f>
        <v>0</v>
      </c>
      <c r="AA8" s="93" t="s">
        <v>278</v>
      </c>
      <c r="AB8" s="93">
        <f t="shared" si="0"/>
        <v>8</v>
      </c>
      <c r="AC8" s="93">
        <f t="shared" si="1"/>
        <v>4</v>
      </c>
    </row>
    <row r="9" spans="2:29" x14ac:dyDescent="0.25">
      <c r="B9" s="92" t="s">
        <v>288</v>
      </c>
      <c r="C9" s="92">
        <f>COUNTIF(Conferencias!$F:$F,$B9)</f>
        <v>3</v>
      </c>
      <c r="D9" s="92">
        <f>COUNTIFS(Conferencias!$F:$F,$B9,Conferencias!$I:$I,1)</f>
        <v>3</v>
      </c>
      <c r="E9" s="92">
        <f>COUNTIFS(Conferencias!$F:$F,$B9,Conferencias!$A:$A,$E$2)</f>
        <v>3</v>
      </c>
      <c r="F9" s="92">
        <f>COUNTIFS(Conferencias!$F:$F,$B9,Conferencias!$I:$I,1,Conferencias!$A:$A,$E$2)</f>
        <v>3</v>
      </c>
      <c r="G9" s="92">
        <f>COUNTIFS(Conferencias!$F:$F,$B9,Conferencias!$A:$A,G$2)</f>
        <v>0</v>
      </c>
      <c r="H9" s="92">
        <f>COUNTIFS(Conferencias!$F:$F,$B9,Conferencias!$I:$I,1,Conferencias!$A:$A,G$2)</f>
        <v>0</v>
      </c>
      <c r="I9" s="92">
        <f>COUNTIFS(Conferencias!$F:$F,$B9,Conferencias!$A:$A,I$2)</f>
        <v>0</v>
      </c>
      <c r="J9" s="92">
        <f>COUNTIFS(Conferencias!$F:$F,$B9,Conferencias!$I:$I,1,Conferencias!$A:$A,I$2)</f>
        <v>0</v>
      </c>
      <c r="K9" s="92">
        <f>COUNTIFS(Conferencias!$F:$F,$B9,Conferencias!$A:$A,K$2)</f>
        <v>0</v>
      </c>
      <c r="L9" s="92">
        <f>COUNTIFS(Conferencias!$F:$F,$B9,Conferencias!$I:$I,1,Conferencias!$A:$A,K$2)</f>
        <v>0</v>
      </c>
      <c r="N9" s="92" t="s">
        <v>288</v>
      </c>
      <c r="O9" s="93">
        <f>COUNTIF(Periodicos!$F:$F,$N9)</f>
        <v>4</v>
      </c>
      <c r="P9" s="93">
        <f>COUNTIFS(Periodicos!$F:$F,$N9,Periodicos!$I:$I,1)</f>
        <v>3</v>
      </c>
      <c r="Q9" s="93">
        <f>COUNTIFS(Periodicos!$F:$F,$N9,Periodicos!$A:$A,Q$2)</f>
        <v>2</v>
      </c>
      <c r="R9" s="93">
        <f>COUNTIFS(Periodicos!$F:$F,$N9,Periodicos!$I:$I,1,Periodicos!$A:$A,Q$2)</f>
        <v>1</v>
      </c>
      <c r="S9" s="93">
        <f>COUNTIFS(Periodicos!$F:$F,$N9,Periodicos!$A:$A,S$2)</f>
        <v>2</v>
      </c>
      <c r="T9" s="93">
        <f>COUNTIFS(Periodicos!$F:$F,$N9,Periodicos!$I:$I,1,Periodicos!$A:$A,S$2)</f>
        <v>2</v>
      </c>
      <c r="U9" s="93">
        <f>COUNTIFS(Periodicos!$F:$F,$N9,Periodicos!$A:$A,U$2)</f>
        <v>0</v>
      </c>
      <c r="V9" s="93">
        <f>COUNTIFS(Periodicos!$F:$F,$N9,Periodicos!$I:$I,1,Periodicos!$A:$A,U$2)</f>
        <v>0</v>
      </c>
      <c r="W9" s="93">
        <f>COUNTIFS(Periodicos!$F:$F,$N9,Periodicos!$A:$A,W$2)</f>
        <v>0</v>
      </c>
      <c r="X9" s="93">
        <f>COUNTIFS(Periodicos!$F:$F,$N9,Periodicos!$I:$I,1,Periodicos!$A:$A,W$2)</f>
        <v>0</v>
      </c>
      <c r="AA9" s="93" t="s">
        <v>288</v>
      </c>
      <c r="AB9" s="93">
        <f t="shared" si="0"/>
        <v>4</v>
      </c>
      <c r="AC9" s="93">
        <f t="shared" si="1"/>
        <v>3</v>
      </c>
    </row>
    <row r="10" spans="2:29" x14ac:dyDescent="0.25">
      <c r="B10" s="92" t="s">
        <v>283</v>
      </c>
      <c r="C10" s="92">
        <f>COUNTIF(Conferencias!$F:$F,$B10)</f>
        <v>6</v>
      </c>
      <c r="D10" s="92">
        <f>COUNTIFS(Conferencias!$F:$F,$B10,Conferencias!$I:$I,1)</f>
        <v>5</v>
      </c>
      <c r="E10" s="92">
        <f>COUNTIFS(Conferencias!$F:$F,$B10,Conferencias!$A:$A,$E$2)</f>
        <v>3</v>
      </c>
      <c r="F10" s="92">
        <f>COUNTIFS(Conferencias!$F:$F,$B10,Conferencias!$I:$I,1,Conferencias!$A:$A,$E$2)</f>
        <v>3</v>
      </c>
      <c r="G10" s="92">
        <f>COUNTIFS(Conferencias!$F:$F,$B10,Conferencias!$A:$A,G$2)</f>
        <v>3</v>
      </c>
      <c r="H10" s="92">
        <f>COUNTIFS(Conferencias!$F:$F,$B10,Conferencias!$I:$I,1,Conferencias!$A:$A,G$2)</f>
        <v>2</v>
      </c>
      <c r="I10" s="92">
        <f>COUNTIFS(Conferencias!$F:$F,$B10,Conferencias!$A:$A,I$2)</f>
        <v>0</v>
      </c>
      <c r="J10" s="92">
        <f>COUNTIFS(Conferencias!$F:$F,$B10,Conferencias!$I:$I,1,Conferencias!$A:$A,I$2)</f>
        <v>0</v>
      </c>
      <c r="K10" s="92">
        <f>COUNTIFS(Conferencias!$F:$F,$B10,Conferencias!$A:$A,K$2)</f>
        <v>0</v>
      </c>
      <c r="L10" s="92">
        <f>COUNTIFS(Conferencias!$F:$F,$B10,Conferencias!$I:$I,1,Conferencias!$A:$A,K$2)</f>
        <v>0</v>
      </c>
      <c r="N10" s="92" t="s">
        <v>283</v>
      </c>
      <c r="O10" s="93">
        <f>COUNTIF(Periodicos!$F:$F,$N10)</f>
        <v>0</v>
      </c>
      <c r="P10" s="93">
        <f>COUNTIFS(Periodicos!$F:$F,$N10,Periodicos!$I:$I,1)</f>
        <v>0</v>
      </c>
      <c r="Q10" s="93">
        <f>COUNTIFS(Periodicos!$F:$F,$N10,Periodicos!$A:$A,Q$2)</f>
        <v>0</v>
      </c>
      <c r="R10" s="93">
        <f>COUNTIFS(Periodicos!$F:$F,$N10,Periodicos!$I:$I,1,Periodicos!$A:$A,Q$2)</f>
        <v>0</v>
      </c>
      <c r="S10" s="93">
        <f>COUNTIFS(Periodicos!$F:$F,$N10,Periodicos!$A:$A,S$2)</f>
        <v>0</v>
      </c>
      <c r="T10" s="93">
        <f>COUNTIFS(Periodicos!$F:$F,$N10,Periodicos!$I:$I,1,Periodicos!$A:$A,S$2)</f>
        <v>0</v>
      </c>
      <c r="U10" s="93">
        <f>COUNTIFS(Periodicos!$F:$F,$N10,Periodicos!$A:$A,U$2)</f>
        <v>0</v>
      </c>
      <c r="V10" s="93">
        <f>COUNTIFS(Periodicos!$F:$F,$N10,Periodicos!$I:$I,1,Periodicos!$A:$A,U$2)</f>
        <v>0</v>
      </c>
      <c r="W10" s="93">
        <f>COUNTIFS(Periodicos!$F:$F,$N10,Periodicos!$A:$A,W$2)</f>
        <v>0</v>
      </c>
      <c r="X10" s="93">
        <f>COUNTIFS(Periodicos!$F:$F,$N10,Periodicos!$I:$I,1,Periodicos!$A:$A,W$2)</f>
        <v>0</v>
      </c>
      <c r="AA10" s="93" t="s">
        <v>283</v>
      </c>
      <c r="AB10" s="93">
        <f t="shared" si="0"/>
        <v>0</v>
      </c>
      <c r="AC10" s="93">
        <f t="shared" si="1"/>
        <v>6</v>
      </c>
    </row>
    <row r="11" spans="2:29" x14ac:dyDescent="0.25">
      <c r="B11" s="92" t="s">
        <v>281</v>
      </c>
      <c r="C11" s="92">
        <f>COUNTIF(Conferencias!$F:$F,$B11)</f>
        <v>6</v>
      </c>
      <c r="D11" s="92">
        <f>COUNTIFS(Conferencias!$F:$F,$B11,Conferencias!$I:$I,1)</f>
        <v>5</v>
      </c>
      <c r="E11" s="92">
        <f>COUNTIFS(Conferencias!$F:$F,$B11,Conferencias!$A:$A,$E$2)</f>
        <v>4</v>
      </c>
      <c r="F11" s="92">
        <f>COUNTIFS(Conferencias!$F:$F,$B11,Conferencias!$I:$I,1,Conferencias!$A:$A,$E$2)</f>
        <v>4</v>
      </c>
      <c r="G11" s="92">
        <f>COUNTIFS(Conferencias!$F:$F,$B11,Conferencias!$A:$A,G$2)</f>
        <v>2</v>
      </c>
      <c r="H11" s="92">
        <f>COUNTIFS(Conferencias!$F:$F,$B11,Conferencias!$I:$I,1,Conferencias!$A:$A,G$2)</f>
        <v>1</v>
      </c>
      <c r="I11" s="92">
        <f>COUNTIFS(Conferencias!$F:$F,$B11,Conferencias!$A:$A,I$2)</f>
        <v>0</v>
      </c>
      <c r="J11" s="92">
        <f>COUNTIFS(Conferencias!$F:$F,$B11,Conferencias!$I:$I,1,Conferencias!$A:$A,I$2)</f>
        <v>0</v>
      </c>
      <c r="K11" s="92">
        <f>COUNTIFS(Conferencias!$F:$F,$B11,Conferencias!$A:$A,K$2)</f>
        <v>0</v>
      </c>
      <c r="L11" s="92">
        <f>COUNTIFS(Conferencias!$F:$F,$B11,Conferencias!$I:$I,1,Conferencias!$A:$A,K$2)</f>
        <v>0</v>
      </c>
      <c r="N11" s="92" t="s">
        <v>281</v>
      </c>
      <c r="O11" s="93">
        <f>COUNTIF(Periodicos!$F:$F,$N11)</f>
        <v>0</v>
      </c>
      <c r="P11" s="93">
        <f>COUNTIFS(Periodicos!$F:$F,$N11,Periodicos!$I:$I,1)</f>
        <v>0</v>
      </c>
      <c r="Q11" s="93">
        <f>COUNTIFS(Periodicos!$F:$F,$N11,Periodicos!$A:$A,Q$2)</f>
        <v>0</v>
      </c>
      <c r="R11" s="93">
        <f>COUNTIFS(Periodicos!$F:$F,$N11,Periodicos!$I:$I,1,Periodicos!$A:$A,Q$2)</f>
        <v>0</v>
      </c>
      <c r="S11" s="93">
        <f>COUNTIFS(Periodicos!$F:$F,$N11,Periodicos!$A:$A,S$2)</f>
        <v>0</v>
      </c>
      <c r="T11" s="93">
        <f>COUNTIFS(Periodicos!$F:$F,$N11,Periodicos!$I:$I,1,Periodicos!$A:$A,S$2)</f>
        <v>0</v>
      </c>
      <c r="U11" s="93">
        <f>COUNTIFS(Periodicos!$F:$F,$N11,Periodicos!$A:$A,U$2)</f>
        <v>0</v>
      </c>
      <c r="V11" s="93">
        <f>COUNTIFS(Periodicos!$F:$F,$N11,Periodicos!$I:$I,1,Periodicos!$A:$A,U$2)</f>
        <v>0</v>
      </c>
      <c r="W11" s="93">
        <f>COUNTIFS(Periodicos!$F:$F,$N11,Periodicos!$A:$A,W$2)</f>
        <v>0</v>
      </c>
      <c r="X11" s="93">
        <f>COUNTIFS(Periodicos!$F:$F,$N11,Periodicos!$I:$I,1,Periodicos!$A:$A,W$2)</f>
        <v>0</v>
      </c>
      <c r="AA11" s="93" t="s">
        <v>281</v>
      </c>
      <c r="AB11" s="93">
        <f t="shared" si="0"/>
        <v>0</v>
      </c>
      <c r="AC11" s="93">
        <f t="shared" si="1"/>
        <v>6</v>
      </c>
    </row>
    <row r="12" spans="2:29" x14ac:dyDescent="0.25">
      <c r="B12" s="92" t="s">
        <v>274</v>
      </c>
      <c r="C12" s="92">
        <f>COUNTIF(Conferencias!$F:$F,$B12)</f>
        <v>25</v>
      </c>
      <c r="D12" s="92">
        <f>COUNTIFS(Conferencias!$F:$F,$B12,Conferencias!$I:$I,1)</f>
        <v>16</v>
      </c>
      <c r="E12" s="92">
        <f>COUNTIFS(Conferencias!$F:$F,$B12,Conferencias!$A:$A,$E$2)</f>
        <v>20</v>
      </c>
      <c r="F12" s="92">
        <f>COUNTIFS(Conferencias!$F:$F,$B12,Conferencias!$I:$I,1,Conferencias!$A:$A,$E$2)</f>
        <v>13</v>
      </c>
      <c r="G12" s="92">
        <f>COUNTIFS(Conferencias!$F:$F,$B12,Conferencias!$A:$A,G$2)</f>
        <v>5</v>
      </c>
      <c r="H12" s="92">
        <f>COUNTIFS(Conferencias!$F:$F,$B12,Conferencias!$I:$I,1,Conferencias!$A:$A,G$2)</f>
        <v>3</v>
      </c>
      <c r="I12" s="92">
        <f>COUNTIFS(Conferencias!$F:$F,$B12,Conferencias!$A:$A,I$2)</f>
        <v>0</v>
      </c>
      <c r="J12" s="92">
        <f>COUNTIFS(Conferencias!$F:$F,$B12,Conferencias!$I:$I,1,Conferencias!$A:$A,I$2)</f>
        <v>0</v>
      </c>
      <c r="K12" s="92">
        <f>COUNTIFS(Conferencias!$F:$F,$B12,Conferencias!$A:$A,K$2)</f>
        <v>0</v>
      </c>
      <c r="L12" s="92">
        <f>COUNTIFS(Conferencias!$F:$F,$B12,Conferencias!$I:$I,1,Conferencias!$A:$A,K$2)</f>
        <v>0</v>
      </c>
      <c r="N12" s="92" t="s">
        <v>420</v>
      </c>
      <c r="O12" s="93">
        <f>COUNTIF(Periodicos!$F:$F,$N12)</f>
        <v>3</v>
      </c>
      <c r="P12" s="93">
        <f>COUNTIFS(Periodicos!$F:$F,$N12,Periodicos!$I:$I,1)</f>
        <v>1</v>
      </c>
      <c r="Q12" s="93">
        <f>COUNTIFS(Periodicos!$F:$F,$N12,Periodicos!$A:$A,Q$2)</f>
        <v>1</v>
      </c>
      <c r="R12" s="93">
        <f>COUNTIFS(Periodicos!$F:$F,$N12,Periodicos!$I:$I,1,Periodicos!$A:$A,Q$2)</f>
        <v>0</v>
      </c>
      <c r="S12" s="93">
        <f>COUNTIFS(Periodicos!$F:$F,$N12,Periodicos!$A:$A,S$2)</f>
        <v>2</v>
      </c>
      <c r="T12" s="93">
        <f>COUNTIFS(Periodicos!$F:$F,$N12,Periodicos!$I:$I,1,Periodicos!$A:$A,S$2)</f>
        <v>1</v>
      </c>
      <c r="U12" s="93">
        <f>COUNTIFS(Periodicos!$F:$F,$N12,Periodicos!$A:$A,U$2)</f>
        <v>0</v>
      </c>
      <c r="V12" s="93">
        <f>COUNTIFS(Periodicos!$F:$F,$N12,Periodicos!$I:$I,1,Periodicos!$A:$A,U$2)</f>
        <v>0</v>
      </c>
      <c r="W12" s="93">
        <f>COUNTIFS(Periodicos!$F:$F,$N12,Periodicos!$A:$A,W$2)</f>
        <v>0</v>
      </c>
      <c r="X12" s="93">
        <f>COUNTIFS(Periodicos!$F:$F,$N12,Periodicos!$I:$I,1,Periodicos!$A:$A,W$2)</f>
        <v>0</v>
      </c>
      <c r="AA12" s="93" t="s">
        <v>420</v>
      </c>
      <c r="AB12" s="93">
        <f t="shared" si="0"/>
        <v>3</v>
      </c>
      <c r="AC12" s="93">
        <f t="shared" si="1"/>
        <v>25</v>
      </c>
    </row>
    <row r="13" spans="2:29" x14ac:dyDescent="0.25">
      <c r="B13" s="71"/>
      <c r="C13" s="107">
        <f t="shared" ref="C13:L13" si="2">SUM(C4:C12)</f>
        <v>66</v>
      </c>
      <c r="D13" s="107">
        <f t="shared" si="2"/>
        <v>51</v>
      </c>
      <c r="E13" s="107">
        <f t="shared" si="2"/>
        <v>43</v>
      </c>
      <c r="F13" s="107">
        <f t="shared" si="2"/>
        <v>34</v>
      </c>
      <c r="G13" s="107">
        <f t="shared" si="2"/>
        <v>23</v>
      </c>
      <c r="H13" s="107">
        <f t="shared" si="2"/>
        <v>17</v>
      </c>
      <c r="I13" s="107">
        <f t="shared" si="2"/>
        <v>0</v>
      </c>
      <c r="J13" s="107">
        <f t="shared" si="2"/>
        <v>0</v>
      </c>
      <c r="K13" s="107">
        <f t="shared" si="2"/>
        <v>0</v>
      </c>
      <c r="L13" s="107">
        <f t="shared" si="2"/>
        <v>0</v>
      </c>
      <c r="N13" s="71"/>
      <c r="O13" s="107">
        <f t="shared" ref="O13:X13" si="3">SUM(O4:O12)</f>
        <v>43</v>
      </c>
      <c r="P13" s="107">
        <f t="shared" si="3"/>
        <v>20</v>
      </c>
      <c r="Q13" s="107">
        <f t="shared" si="3"/>
        <v>33</v>
      </c>
      <c r="R13" s="107">
        <f t="shared" si="3"/>
        <v>13</v>
      </c>
      <c r="S13" s="107">
        <f t="shared" si="3"/>
        <v>10</v>
      </c>
      <c r="T13" s="107">
        <f t="shared" si="3"/>
        <v>7</v>
      </c>
      <c r="U13" s="107">
        <f t="shared" si="3"/>
        <v>0</v>
      </c>
      <c r="V13" s="107">
        <f t="shared" si="3"/>
        <v>0</v>
      </c>
      <c r="W13" s="107">
        <f t="shared" si="3"/>
        <v>0</v>
      </c>
      <c r="X13" s="107">
        <f t="shared" si="3"/>
        <v>0</v>
      </c>
      <c r="AA13" s="147"/>
      <c r="AB13" s="107">
        <f>SUM(AB4:AB12)</f>
        <v>43</v>
      </c>
      <c r="AC13" s="107">
        <f>SUM(AC4:AC12)</f>
        <v>66</v>
      </c>
    </row>
    <row r="17" spans="2:29" x14ac:dyDescent="0.25">
      <c r="AA17" s="150" t="s">
        <v>655</v>
      </c>
      <c r="AB17" s="150"/>
      <c r="AC17" s="150"/>
    </row>
    <row r="18" spans="2:29" x14ac:dyDescent="0.25">
      <c r="B18" s="117" t="s">
        <v>669</v>
      </c>
      <c r="M18" s="117" t="s">
        <v>668</v>
      </c>
      <c r="AB18" s="149" t="s">
        <v>650</v>
      </c>
      <c r="AC18" s="149" t="s">
        <v>651</v>
      </c>
    </row>
    <row r="19" spans="2:29" x14ac:dyDescent="0.25">
      <c r="AA19" s="93" t="s">
        <v>302</v>
      </c>
      <c r="AB19" s="93">
        <f t="shared" ref="AB19:AB27" si="4">P4</f>
        <v>3</v>
      </c>
      <c r="AC19" s="93">
        <f t="shared" ref="AC19:AC27" si="5">D4</f>
        <v>3</v>
      </c>
    </row>
    <row r="20" spans="2:29" x14ac:dyDescent="0.25">
      <c r="B20" s="152" t="s">
        <v>55</v>
      </c>
      <c r="C20" s="151" t="s">
        <v>656</v>
      </c>
      <c r="D20" s="151"/>
      <c r="E20" s="151"/>
      <c r="F20" s="152" t="s">
        <v>63</v>
      </c>
      <c r="G20" s="154" t="s">
        <v>659</v>
      </c>
      <c r="H20" s="152" t="s">
        <v>55</v>
      </c>
      <c r="M20" s="152" t="s">
        <v>55</v>
      </c>
      <c r="N20" s="151" t="s">
        <v>656</v>
      </c>
      <c r="O20" s="151"/>
      <c r="P20" s="151"/>
      <c r="Q20" s="152" t="s">
        <v>63</v>
      </c>
      <c r="R20" s="154" t="s">
        <v>659</v>
      </c>
      <c r="AA20" s="93" t="s">
        <v>276</v>
      </c>
      <c r="AB20" s="93">
        <f t="shared" si="4"/>
        <v>4</v>
      </c>
      <c r="AC20" s="93">
        <f t="shared" si="5"/>
        <v>2</v>
      </c>
    </row>
    <row r="21" spans="2:29" x14ac:dyDescent="0.25">
      <c r="B21" s="152"/>
      <c r="C21" s="116" t="s">
        <v>492</v>
      </c>
      <c r="D21" s="116" t="s">
        <v>37</v>
      </c>
      <c r="E21" s="116" t="s">
        <v>437</v>
      </c>
      <c r="F21" s="152"/>
      <c r="G21" s="155"/>
      <c r="H21" s="152"/>
      <c r="M21" s="152"/>
      <c r="N21" s="116" t="s">
        <v>492</v>
      </c>
      <c r="O21" s="116" t="s">
        <v>37</v>
      </c>
      <c r="P21" s="116" t="s">
        <v>437</v>
      </c>
      <c r="Q21" s="152"/>
      <c r="R21" s="155"/>
      <c r="AA21" s="93" t="s">
        <v>299</v>
      </c>
      <c r="AB21" s="93">
        <f t="shared" si="4"/>
        <v>1</v>
      </c>
      <c r="AC21" s="93">
        <f t="shared" si="5"/>
        <v>2</v>
      </c>
    </row>
    <row r="22" spans="2:29" x14ac:dyDescent="0.25">
      <c r="B22" s="107">
        <v>2021</v>
      </c>
      <c r="C22" s="113">
        <f>SUMIFS(Conferencias!$AB:$AB,Conferencias!$H:$H,1,Conferencias!$A:$A,B22)</f>
        <v>8</v>
      </c>
      <c r="D22" s="113">
        <f>SUMIFS(Periodicos!$AB:$AB,Periodicos!$H:$H,1,Periodicos!$A:$A,B22)</f>
        <v>20.5</v>
      </c>
      <c r="E22" s="113">
        <f>C22+D22</f>
        <v>28.5</v>
      </c>
      <c r="F22" s="114">
        <v>13</v>
      </c>
      <c r="G22" s="113">
        <f>E22/F22</f>
        <v>2.1923076923076925</v>
      </c>
      <c r="H22" s="114">
        <v>1</v>
      </c>
      <c r="I22" s="115" t="s">
        <v>657</v>
      </c>
      <c r="M22" s="107">
        <v>2021</v>
      </c>
      <c r="N22" s="113">
        <f>SUMIFS(Conferencias!$AB:$AB,Conferencias!$H:$H,1,Conferencias!$A:$A,M22)</f>
        <v>8</v>
      </c>
      <c r="O22" s="113">
        <f>SUMIFS(Periodicos!$AB:$AB,Periodicos!$H:$H,1,Periodicos!$A:$A,M22)</f>
        <v>20.5</v>
      </c>
      <c r="P22" s="113">
        <f>N22+O22</f>
        <v>28.5</v>
      </c>
      <c r="Q22" s="114">
        <v>13</v>
      </c>
      <c r="R22" s="113">
        <f>P22/Q22</f>
        <v>2.1923076923076925</v>
      </c>
      <c r="AA22" s="93" t="s">
        <v>280</v>
      </c>
      <c r="AB22" s="93">
        <f t="shared" si="4"/>
        <v>2</v>
      </c>
      <c r="AC22" s="93">
        <f t="shared" si="5"/>
        <v>12</v>
      </c>
    </row>
    <row r="23" spans="2:29" x14ac:dyDescent="0.25">
      <c r="B23" s="107">
        <v>2022</v>
      </c>
      <c r="C23" s="113">
        <f>SUMIFS(Conferencias!$AB:$AB,Conferencias!$H:$H,1,Conferencias!$A:$A,B23)</f>
        <v>8.25</v>
      </c>
      <c r="D23" s="113">
        <f>SUMIFS(Periodicos!$AB:$AB,Periodicos!$H:$H,1,Periodicos!$A:$A,B23)</f>
        <v>4</v>
      </c>
      <c r="E23" s="113">
        <f>C23+D23</f>
        <v>12.25</v>
      </c>
      <c r="F23" s="114">
        <v>13</v>
      </c>
      <c r="G23" s="113">
        <f>E23/F23</f>
        <v>0.94230769230769229</v>
      </c>
      <c r="H23" s="114">
        <v>1</v>
      </c>
      <c r="I23" s="115" t="s">
        <v>658</v>
      </c>
      <c r="M23" s="107">
        <v>2022</v>
      </c>
      <c r="N23" s="113">
        <f>SUMIFS(Conferencias!$AB:$AB,Conferencias!$H:$H,1,Conferencias!$A:$A,M23)</f>
        <v>8.25</v>
      </c>
      <c r="O23" s="113">
        <f>SUMIFS(Periodicos!$AB:$AB,Periodicos!$H:$H,1,Periodicos!$A:$A,M23)</f>
        <v>4</v>
      </c>
      <c r="P23" s="113">
        <f>N23+O23</f>
        <v>12.25</v>
      </c>
      <c r="Q23" s="114">
        <v>13</v>
      </c>
      <c r="R23" s="113">
        <f>P23/Q23</f>
        <v>0.94230769230769229</v>
      </c>
      <c r="AA23" s="93" t="s">
        <v>278</v>
      </c>
      <c r="AB23" s="93">
        <f t="shared" si="4"/>
        <v>6</v>
      </c>
      <c r="AC23" s="93">
        <f t="shared" si="5"/>
        <v>3</v>
      </c>
    </row>
    <row r="24" spans="2:29" x14ac:dyDescent="0.25">
      <c r="B24" s="107">
        <v>2023</v>
      </c>
      <c r="C24" s="113">
        <f>SUMIFS(Conferencias!$AB:$AB,Conferencias!$H:$H,1,Conferencias!$A:$A,B24)</f>
        <v>0</v>
      </c>
      <c r="D24" s="113">
        <f>SUMIFS(Periodicos!$AB:$AB,Periodicos!$H:$H,1,Periodicos!$A:$A,B24)</f>
        <v>0</v>
      </c>
      <c r="E24" s="113">
        <f>C24+D24</f>
        <v>0</v>
      </c>
      <c r="F24" s="114">
        <v>14</v>
      </c>
      <c r="G24" s="113">
        <f>E24/F24</f>
        <v>0</v>
      </c>
      <c r="H24" s="114">
        <v>0</v>
      </c>
      <c r="I24" s="115" t="s">
        <v>660</v>
      </c>
      <c r="M24" s="107">
        <v>2023</v>
      </c>
      <c r="N24" s="109">
        <f>P24*3/4</f>
        <v>36.043269230769226</v>
      </c>
      <c r="O24" s="109">
        <f>P24/4</f>
        <v>12.014423076923077</v>
      </c>
      <c r="P24" s="109">
        <f>Q24*R24</f>
        <v>48.057692307692307</v>
      </c>
      <c r="Q24" s="106">
        <v>14</v>
      </c>
      <c r="R24" s="109">
        <f>(R26*4-SUM(R22:R23))/2</f>
        <v>3.4326923076923075</v>
      </c>
      <c r="S24" s="109">
        <f>R24*3/4</f>
        <v>2.5745192307692308</v>
      </c>
      <c r="T24" s="109">
        <f>R24/4</f>
        <v>0.85817307692307687</v>
      </c>
      <c r="AA24" s="93" t="s">
        <v>288</v>
      </c>
      <c r="AB24" s="93">
        <f t="shared" si="4"/>
        <v>3</v>
      </c>
      <c r="AC24" s="93">
        <f t="shared" si="5"/>
        <v>3</v>
      </c>
    </row>
    <row r="25" spans="2:29" x14ac:dyDescent="0.25">
      <c r="B25" s="107">
        <v>2024</v>
      </c>
      <c r="C25" s="113">
        <f>SUMIFS(Conferencias!$AB:$AB,Conferencias!$H:$H,1,Conferencias!$A:$A,B25)</f>
        <v>0</v>
      </c>
      <c r="D25" s="113">
        <f>SUMIFS(Periodicos!$AB:$AB,Periodicos!$H:$H,1,Periodicos!$A:$A,B25)</f>
        <v>0</v>
      </c>
      <c r="E25" s="113">
        <f>C25+D25</f>
        <v>0</v>
      </c>
      <c r="F25" s="114">
        <v>16</v>
      </c>
      <c r="G25" s="113">
        <f>E25/F25</f>
        <v>0</v>
      </c>
      <c r="H25" s="114">
        <v>0</v>
      </c>
      <c r="M25" s="107">
        <v>2024</v>
      </c>
      <c r="N25" s="109">
        <f>P25*3/4</f>
        <v>41.192307692307693</v>
      </c>
      <c r="O25" s="109">
        <f>P25/4</f>
        <v>13.73076923076923</v>
      </c>
      <c r="P25" s="109">
        <f>Q25*R25</f>
        <v>54.92307692307692</v>
      </c>
      <c r="Q25" s="106">
        <v>16</v>
      </c>
      <c r="R25" s="109">
        <f>(R26*4-SUM(R22:R24))</f>
        <v>3.4326923076923075</v>
      </c>
      <c r="S25" s="109">
        <f>R25*3/4</f>
        <v>2.5745192307692308</v>
      </c>
      <c r="T25" s="109">
        <f>R25/4</f>
        <v>0.85817307692307687</v>
      </c>
      <c r="AA25" s="93" t="s">
        <v>283</v>
      </c>
      <c r="AB25" s="93">
        <f t="shared" si="4"/>
        <v>0</v>
      </c>
      <c r="AC25" s="93">
        <f t="shared" si="5"/>
        <v>5</v>
      </c>
    </row>
    <row r="26" spans="2:29" x14ac:dyDescent="0.25">
      <c r="C26" s="112">
        <f>SUMIFS(Conferencias!$AB:$AB,Conferencias!$H:$H,1)</f>
        <v>16.25</v>
      </c>
      <c r="D26" s="112">
        <f>SUMIFS(Periodicos!$AB:$AB,Periodicos!$H:$H,1)</f>
        <v>24.5</v>
      </c>
      <c r="E26" s="112">
        <f>SUM(E22:E25)</f>
        <v>40.75</v>
      </c>
      <c r="F26" s="118"/>
      <c r="G26" s="112">
        <f>SUM(G22:G25)/SUM(H22:H25)</f>
        <v>1.5673076923076925</v>
      </c>
      <c r="H26" s="120"/>
      <c r="N26" s="112">
        <f>SUMIFS(Conferencias!$AB:$AB,Conferencias!$H:$H,1)</f>
        <v>16.25</v>
      </c>
      <c r="O26" s="112">
        <f>SUMIFS(Periodicos!$AB:$AB,Periodicos!$H:$H,1)</f>
        <v>24.5</v>
      </c>
      <c r="P26" s="112">
        <f>SUM(P22:P25)</f>
        <v>143.73076923076923</v>
      </c>
      <c r="Q26" s="118"/>
      <c r="R26" s="119">
        <v>2.5</v>
      </c>
      <c r="AA26" s="93" t="s">
        <v>281</v>
      </c>
      <c r="AB26" s="93">
        <f t="shared" si="4"/>
        <v>0</v>
      </c>
      <c r="AC26" s="93">
        <f t="shared" si="5"/>
        <v>5</v>
      </c>
    </row>
    <row r="27" spans="2:29" x14ac:dyDescent="0.25">
      <c r="AA27" s="93" t="s">
        <v>420</v>
      </c>
      <c r="AB27" s="93">
        <f t="shared" si="4"/>
        <v>1</v>
      </c>
      <c r="AC27" s="93">
        <f t="shared" si="5"/>
        <v>16</v>
      </c>
    </row>
    <row r="28" spans="2:29" x14ac:dyDescent="0.25">
      <c r="F28" s="73"/>
      <c r="AA28" s="147"/>
      <c r="AB28" s="107">
        <f>SUM(AB19:AB27)</f>
        <v>20</v>
      </c>
      <c r="AC28" s="107">
        <f>SUM(AC19:AC27)</f>
        <v>51</v>
      </c>
    </row>
    <row r="29" spans="2:29" x14ac:dyDescent="0.25">
      <c r="B29" s="152" t="s">
        <v>55</v>
      </c>
      <c r="C29" s="152" t="s">
        <v>661</v>
      </c>
      <c r="D29" s="152" t="s">
        <v>665</v>
      </c>
      <c r="E29" s="156" t="s">
        <v>662</v>
      </c>
      <c r="F29" s="156" t="s">
        <v>663</v>
      </c>
      <c r="G29" s="152" t="s">
        <v>63</v>
      </c>
      <c r="H29" s="153" t="s">
        <v>664</v>
      </c>
      <c r="I29" s="153" t="s">
        <v>666</v>
      </c>
      <c r="J29" s="153" t="s">
        <v>667</v>
      </c>
      <c r="M29" s="152" t="s">
        <v>55</v>
      </c>
      <c r="N29" s="152" t="s">
        <v>661</v>
      </c>
      <c r="O29" s="152" t="s">
        <v>665</v>
      </c>
      <c r="P29" s="156" t="s">
        <v>662</v>
      </c>
      <c r="Q29" s="156" t="s">
        <v>663</v>
      </c>
      <c r="R29" s="152" t="s">
        <v>63</v>
      </c>
      <c r="S29" s="153" t="s">
        <v>664</v>
      </c>
      <c r="T29" s="153" t="s">
        <v>666</v>
      </c>
      <c r="U29" s="153" t="s">
        <v>667</v>
      </c>
      <c r="AB29" s="148">
        <f>AB28/AB13</f>
        <v>0.46511627906976744</v>
      </c>
      <c r="AC29" s="148">
        <f>AC28/AC13</f>
        <v>0.77272727272727271</v>
      </c>
    </row>
    <row r="30" spans="2:29" x14ac:dyDescent="0.25">
      <c r="B30" s="152"/>
      <c r="C30" s="152"/>
      <c r="D30" s="152"/>
      <c r="E30" s="156"/>
      <c r="F30" s="151"/>
      <c r="G30" s="152"/>
      <c r="H30" s="152"/>
      <c r="I30" s="152"/>
      <c r="J30" s="152"/>
      <c r="M30" s="152"/>
      <c r="N30" s="152"/>
      <c r="O30" s="152"/>
      <c r="P30" s="156"/>
      <c r="Q30" s="151"/>
      <c r="R30" s="152"/>
      <c r="S30" s="152"/>
      <c r="T30" s="152"/>
      <c r="U30" s="152"/>
    </row>
    <row r="31" spans="2:29" x14ac:dyDescent="0.25">
      <c r="B31" s="107">
        <v>2021</v>
      </c>
      <c r="C31" s="93">
        <v>19</v>
      </c>
      <c r="D31" s="93">
        <f>3+3+3+1</f>
        <v>10</v>
      </c>
      <c r="E31" s="93">
        <v>7</v>
      </c>
      <c r="F31" s="93">
        <v>59</v>
      </c>
      <c r="G31" s="114">
        <v>13</v>
      </c>
      <c r="H31" s="113">
        <f>C31/G31</f>
        <v>1.4615384615384615</v>
      </c>
      <c r="I31" s="113">
        <f>E31/G31</f>
        <v>0.53846153846153844</v>
      </c>
      <c r="J31" s="113">
        <f>F31/G31</f>
        <v>4.5384615384615383</v>
      </c>
      <c r="M31" s="107">
        <v>2021</v>
      </c>
      <c r="N31" s="92">
        <v>19</v>
      </c>
      <c r="O31" s="92">
        <f>3+3+3+1</f>
        <v>10</v>
      </c>
      <c r="P31" s="92">
        <v>7</v>
      </c>
      <c r="Q31" s="92">
        <v>59</v>
      </c>
      <c r="R31" s="104">
        <v>13</v>
      </c>
      <c r="S31" s="103">
        <f>N31/R31</f>
        <v>1.4615384615384615</v>
      </c>
      <c r="T31" s="103">
        <f>P31/R31</f>
        <v>0.53846153846153844</v>
      </c>
      <c r="U31" s="103">
        <f>Q31/R31</f>
        <v>4.5384615384615383</v>
      </c>
    </row>
    <row r="32" spans="2:29" x14ac:dyDescent="0.25">
      <c r="B32" s="107">
        <v>2022</v>
      </c>
      <c r="C32" s="93">
        <v>14</v>
      </c>
      <c r="D32" s="93">
        <v>7</v>
      </c>
      <c r="E32" s="93">
        <v>2</v>
      </c>
      <c r="F32" s="93">
        <f>F31+C32-D32-E32</f>
        <v>64</v>
      </c>
      <c r="G32" s="114">
        <v>13</v>
      </c>
      <c r="H32" s="113">
        <f>C32/G32</f>
        <v>1.0769230769230769</v>
      </c>
      <c r="I32" s="113">
        <f>E32/G32</f>
        <v>0.15384615384615385</v>
      </c>
      <c r="J32" s="113">
        <f>F32/G32</f>
        <v>4.9230769230769234</v>
      </c>
      <c r="M32" s="107">
        <v>2022</v>
      </c>
      <c r="N32" s="92">
        <v>14</v>
      </c>
      <c r="O32" s="92">
        <v>7</v>
      </c>
      <c r="P32" s="92">
        <v>2</v>
      </c>
      <c r="Q32" s="92">
        <f>Q31+N32-O32-P32</f>
        <v>64</v>
      </c>
      <c r="R32" s="104">
        <v>13</v>
      </c>
      <c r="S32" s="103">
        <f>N32/R32</f>
        <v>1.0769230769230769</v>
      </c>
      <c r="T32" s="103">
        <f>P32/R32</f>
        <v>0.15384615384615385</v>
      </c>
      <c r="U32" s="103">
        <f>Q32/R32</f>
        <v>4.9230769230769234</v>
      </c>
    </row>
    <row r="33" spans="2:21" x14ac:dyDescent="0.25">
      <c r="B33" s="107">
        <v>2023</v>
      </c>
      <c r="C33" s="93"/>
      <c r="D33" s="93"/>
      <c r="E33" s="93"/>
      <c r="F33" s="93">
        <f>F32+C33-D33-E33</f>
        <v>64</v>
      </c>
      <c r="G33" s="114">
        <v>13</v>
      </c>
      <c r="H33" s="113">
        <f>C33/G33</f>
        <v>0</v>
      </c>
      <c r="I33" s="113">
        <f>E33/G33</f>
        <v>0</v>
      </c>
      <c r="J33" s="113">
        <f>F33/G33</f>
        <v>4.9230769230769234</v>
      </c>
      <c r="M33" s="107">
        <v>2023</v>
      </c>
      <c r="N33" s="105">
        <f>R33*S33</f>
        <v>21</v>
      </c>
      <c r="O33" s="105">
        <f>ROUND(0.3*N33,0)</f>
        <v>6</v>
      </c>
      <c r="P33" s="105">
        <v>25</v>
      </c>
      <c r="Q33" s="105">
        <f>Q32+N33-O33-P33</f>
        <v>54</v>
      </c>
      <c r="R33" s="106">
        <v>14</v>
      </c>
      <c r="S33" s="109">
        <v>1.5</v>
      </c>
      <c r="T33" s="103">
        <f>P33/R33</f>
        <v>1.7857142857142858</v>
      </c>
      <c r="U33" s="103">
        <f>Q33/R33</f>
        <v>3.8571428571428572</v>
      </c>
    </row>
    <row r="34" spans="2:21" x14ac:dyDescent="0.25">
      <c r="B34" s="107">
        <v>2024</v>
      </c>
      <c r="C34" s="93"/>
      <c r="D34" s="93"/>
      <c r="E34" s="114"/>
      <c r="F34" s="93">
        <f>F33+C34-D34-E34</f>
        <v>64</v>
      </c>
      <c r="G34" s="114">
        <v>13</v>
      </c>
      <c r="H34" s="113">
        <f>C34/G34</f>
        <v>0</v>
      </c>
      <c r="I34" s="113">
        <f>E34/G34</f>
        <v>0</v>
      </c>
      <c r="J34" s="113">
        <f>F34/G34</f>
        <v>4.9230769230769234</v>
      </c>
      <c r="M34" s="107">
        <v>2024</v>
      </c>
      <c r="N34" s="105">
        <f>R34*S34</f>
        <v>24</v>
      </c>
      <c r="O34" s="105">
        <f>ROUND(0.3*N34,0)</f>
        <v>7</v>
      </c>
      <c r="P34" s="106">
        <v>25</v>
      </c>
      <c r="Q34" s="105">
        <f>Q33+N34-O34-P34</f>
        <v>46</v>
      </c>
      <c r="R34" s="106">
        <v>16</v>
      </c>
      <c r="S34" s="109">
        <v>1.5</v>
      </c>
      <c r="T34" s="103">
        <f>P34/R34</f>
        <v>1.5625</v>
      </c>
      <c r="U34" s="103">
        <f>Q34/R34</f>
        <v>2.875</v>
      </c>
    </row>
    <row r="35" spans="2:21" x14ac:dyDescent="0.25">
      <c r="C35" s="110">
        <f>SUM(C31:C34)</f>
        <v>33</v>
      </c>
      <c r="E35" s="111">
        <f>SUM(E31:E34)</f>
        <v>9</v>
      </c>
      <c r="I35" s="112">
        <f>SUM(I31:I34)/4</f>
        <v>0.17307692307692307</v>
      </c>
      <c r="N35" s="110">
        <f>SUM(N31:N34)</f>
        <v>78</v>
      </c>
      <c r="P35" s="111">
        <f>SUM(P31:P34)</f>
        <v>59</v>
      </c>
      <c r="T35" s="112">
        <f>SUM(T31:T34)/4</f>
        <v>1.0101304945054945</v>
      </c>
    </row>
    <row r="37" spans="2:21" x14ac:dyDescent="0.25">
      <c r="M37" s="107">
        <v>2025</v>
      </c>
      <c r="N37" s="108">
        <f>R37*S37</f>
        <v>24</v>
      </c>
      <c r="O37" s="92">
        <f>ROUND(0.3*N37,0)</f>
        <v>7</v>
      </c>
      <c r="P37" s="108">
        <f>R37*T37</f>
        <v>16</v>
      </c>
      <c r="Q37" s="107">
        <f>Q34+N37-O37-P37</f>
        <v>47</v>
      </c>
      <c r="R37" s="104">
        <v>16</v>
      </c>
      <c r="S37" s="103">
        <v>1.5</v>
      </c>
      <c r="T37" s="103">
        <v>1</v>
      </c>
      <c r="U37" s="103">
        <f>Q37/R37</f>
        <v>2.9375</v>
      </c>
    </row>
    <row r="38" spans="2:21" x14ac:dyDescent="0.25">
      <c r="M38" s="107">
        <v>2026</v>
      </c>
      <c r="N38" s="108">
        <f>R38*S38</f>
        <v>27</v>
      </c>
      <c r="O38" s="92">
        <f>ROUND(0.3*N38,0)</f>
        <v>8</v>
      </c>
      <c r="P38" s="108">
        <f>R38*T38</f>
        <v>18</v>
      </c>
      <c r="Q38" s="107">
        <f>Q37+N38-O38-P38</f>
        <v>48</v>
      </c>
      <c r="R38" s="104">
        <v>18</v>
      </c>
      <c r="S38" s="103">
        <v>1.5</v>
      </c>
      <c r="T38" s="103">
        <v>1</v>
      </c>
      <c r="U38" s="103">
        <f>Q38/R38</f>
        <v>2.6666666666666665</v>
      </c>
    </row>
    <row r="39" spans="2:21" x14ac:dyDescent="0.25">
      <c r="M39" s="107">
        <v>2027</v>
      </c>
      <c r="N39" s="108">
        <f>R39*S39</f>
        <v>27</v>
      </c>
      <c r="O39" s="92">
        <f>ROUND(0.3*N39,0)</f>
        <v>8</v>
      </c>
      <c r="P39" s="108">
        <f>R39*T39</f>
        <v>18</v>
      </c>
      <c r="Q39" s="107">
        <f>Q38+N39-O39-P39</f>
        <v>49</v>
      </c>
      <c r="R39" s="104">
        <v>18</v>
      </c>
      <c r="S39" s="103">
        <v>1.5</v>
      </c>
      <c r="T39" s="103">
        <v>1</v>
      </c>
      <c r="U39" s="103">
        <f>Q39/R39</f>
        <v>2.7222222222222223</v>
      </c>
    </row>
    <row r="40" spans="2:21" x14ac:dyDescent="0.25">
      <c r="M40" s="107">
        <v>2028</v>
      </c>
      <c r="N40" s="108">
        <f>R40*S40</f>
        <v>30</v>
      </c>
      <c r="O40" s="92">
        <f>ROUND(0.3*N40,0)</f>
        <v>9</v>
      </c>
      <c r="P40" s="108">
        <f>R40*T40</f>
        <v>20</v>
      </c>
      <c r="Q40" s="107">
        <f>Q39+N40-O40-P40</f>
        <v>50</v>
      </c>
      <c r="R40" s="104">
        <v>20</v>
      </c>
      <c r="S40" s="103">
        <v>1.5</v>
      </c>
      <c r="T40" s="103">
        <v>1</v>
      </c>
      <c r="U40" s="103">
        <f>Q40/R40</f>
        <v>2.5</v>
      </c>
    </row>
  </sheetData>
  <mergeCells count="38">
    <mergeCell ref="M29:M30"/>
    <mergeCell ref="N29:N30"/>
    <mergeCell ref="O29:O30"/>
    <mergeCell ref="P29:P30"/>
    <mergeCell ref="Q29:Q30"/>
    <mergeCell ref="N20:P20"/>
    <mergeCell ref="Q20:Q21"/>
    <mergeCell ref="S29:S30"/>
    <mergeCell ref="T29:T30"/>
    <mergeCell ref="U29:U30"/>
    <mergeCell ref="R29:R30"/>
    <mergeCell ref="B29:B30"/>
    <mergeCell ref="H29:H30"/>
    <mergeCell ref="D29:D30"/>
    <mergeCell ref="I29:I30"/>
    <mergeCell ref="R20:R21"/>
    <mergeCell ref="G20:G21"/>
    <mergeCell ref="H20:H21"/>
    <mergeCell ref="E29:E30"/>
    <mergeCell ref="F29:F30"/>
    <mergeCell ref="G29:G30"/>
    <mergeCell ref="C20:E20"/>
    <mergeCell ref="J29:J30"/>
    <mergeCell ref="C29:C30"/>
    <mergeCell ref="B20:B21"/>
    <mergeCell ref="F20:F21"/>
    <mergeCell ref="M20:M21"/>
    <mergeCell ref="C2:D2"/>
    <mergeCell ref="E2:F2"/>
    <mergeCell ref="G2:H2"/>
    <mergeCell ref="I2:J2"/>
    <mergeCell ref="K2:L2"/>
    <mergeCell ref="AA17:AC17"/>
    <mergeCell ref="O2:P2"/>
    <mergeCell ref="Q2:R2"/>
    <mergeCell ref="S2:T2"/>
    <mergeCell ref="U2:V2"/>
    <mergeCell ref="W2:X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7242-73BC-490A-9AB4-4F0F32BBE078}">
  <sheetPr>
    <pageSetUpPr fitToPage="1"/>
  </sheetPr>
  <dimension ref="A1:T47"/>
  <sheetViews>
    <sheetView workbookViewId="0">
      <selection activeCell="C34" sqref="C34"/>
    </sheetView>
  </sheetViews>
  <sheetFormatPr defaultColWidth="11" defaultRowHeight="15.75" x14ac:dyDescent="0.25"/>
  <cols>
    <col min="1" max="1" width="37.5" customWidth="1"/>
    <col min="2" max="2" width="60.625" style="22" bestFit="1" customWidth="1"/>
    <col min="3" max="3" width="7.125" style="8" bestFit="1" customWidth="1"/>
    <col min="4" max="20" width="3.375" style="2" customWidth="1"/>
    <col min="22" max="22" width="3.375" customWidth="1"/>
    <col min="23" max="40" width="3.375" bestFit="1" customWidth="1"/>
  </cols>
  <sheetData>
    <row r="1" spans="1:20" x14ac:dyDescent="0.25">
      <c r="A1" s="19" t="s">
        <v>505</v>
      </c>
      <c r="B1" s="20" t="s">
        <v>506</v>
      </c>
      <c r="C1" s="19" t="s">
        <v>507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18" t="s">
        <v>2</v>
      </c>
      <c r="B2" s="21" t="s">
        <v>508</v>
      </c>
      <c r="C2" s="8">
        <v>7</v>
      </c>
    </row>
    <row r="3" spans="1:20" x14ac:dyDescent="0.25">
      <c r="A3" s="18" t="s">
        <v>3</v>
      </c>
      <c r="B3" s="23" t="s">
        <v>509</v>
      </c>
      <c r="C3" s="8">
        <v>0</v>
      </c>
    </row>
    <row r="4" spans="1:20" x14ac:dyDescent="0.25">
      <c r="A4" s="18" t="s">
        <v>5</v>
      </c>
      <c r="B4" s="21" t="s">
        <v>510</v>
      </c>
      <c r="C4" s="8">
        <v>11</v>
      </c>
    </row>
    <row r="5" spans="1:20" x14ac:dyDescent="0.25">
      <c r="A5" s="18" t="s">
        <v>6</v>
      </c>
      <c r="B5" s="21" t="s">
        <v>511</v>
      </c>
      <c r="C5" s="8">
        <v>25</v>
      </c>
    </row>
    <row r="6" spans="1:20" x14ac:dyDescent="0.25">
      <c r="A6" s="18" t="s">
        <v>512</v>
      </c>
      <c r="B6" s="23" t="s">
        <v>513</v>
      </c>
      <c r="C6" s="8">
        <v>5</v>
      </c>
    </row>
    <row r="7" spans="1:20" x14ac:dyDescent="0.25">
      <c r="A7" s="18" t="s">
        <v>8</v>
      </c>
      <c r="B7" s="23" t="s">
        <v>514</v>
      </c>
      <c r="C7" s="8">
        <v>4</v>
      </c>
    </row>
    <row r="8" spans="1:20" x14ac:dyDescent="0.25">
      <c r="A8" s="18" t="s">
        <v>9</v>
      </c>
      <c r="B8" s="21" t="s">
        <v>515</v>
      </c>
      <c r="C8" s="8">
        <v>7</v>
      </c>
    </row>
    <row r="9" spans="1:20" x14ac:dyDescent="0.25">
      <c r="A9" s="18" t="s">
        <v>10</v>
      </c>
      <c r="B9" s="21" t="s">
        <v>516</v>
      </c>
      <c r="C9" s="8">
        <v>5</v>
      </c>
    </row>
    <row r="10" spans="1:20" x14ac:dyDescent="0.25">
      <c r="A10" s="18" t="s">
        <v>11</v>
      </c>
      <c r="B10" s="21" t="s">
        <v>517</v>
      </c>
      <c r="C10" s="8">
        <v>8</v>
      </c>
    </row>
    <row r="11" spans="1:20" x14ac:dyDescent="0.25">
      <c r="A11" s="18" t="s">
        <v>12</v>
      </c>
      <c r="B11" s="21" t="s">
        <v>518</v>
      </c>
      <c r="C11" s="8">
        <v>3</v>
      </c>
    </row>
    <row r="12" spans="1:20" x14ac:dyDescent="0.25">
      <c r="A12" s="18" t="s">
        <v>13</v>
      </c>
      <c r="B12" s="21" t="s">
        <v>519</v>
      </c>
      <c r="C12" s="8">
        <v>5</v>
      </c>
    </row>
    <row r="13" spans="1:20" x14ac:dyDescent="0.25">
      <c r="A13" s="18" t="s">
        <v>14</v>
      </c>
      <c r="B13" s="21" t="s">
        <v>520</v>
      </c>
      <c r="C13" s="8">
        <v>5</v>
      </c>
    </row>
    <row r="14" spans="1:20" x14ac:dyDescent="0.25">
      <c r="A14" s="18" t="s">
        <v>15</v>
      </c>
      <c r="B14" s="21" t="s">
        <v>521</v>
      </c>
      <c r="C14" s="8">
        <v>6</v>
      </c>
    </row>
    <row r="15" spans="1:20" x14ac:dyDescent="0.25">
      <c r="A15" s="18" t="s">
        <v>16</v>
      </c>
      <c r="B15" s="21" t="s">
        <v>522</v>
      </c>
      <c r="C15" s="8">
        <v>5</v>
      </c>
    </row>
    <row r="17" spans="1:3" x14ac:dyDescent="0.25">
      <c r="A17" s="19" t="s">
        <v>505</v>
      </c>
      <c r="B17" s="20" t="s">
        <v>333</v>
      </c>
      <c r="C17" s="19" t="s">
        <v>507</v>
      </c>
    </row>
    <row r="18" spans="1:3" x14ac:dyDescent="0.25">
      <c r="A18" s="18" t="s">
        <v>2</v>
      </c>
      <c r="B18" s="21" t="s">
        <v>523</v>
      </c>
      <c r="C18" s="8">
        <v>5</v>
      </c>
    </row>
    <row r="19" spans="1:3" x14ac:dyDescent="0.25">
      <c r="A19" s="18" t="s">
        <v>3</v>
      </c>
      <c r="B19" s="23" t="s">
        <v>524</v>
      </c>
      <c r="C19" s="8">
        <v>2</v>
      </c>
    </row>
    <row r="20" spans="1:3" x14ac:dyDescent="0.25">
      <c r="A20" s="18" t="s">
        <v>5</v>
      </c>
      <c r="B20" s="21" t="s">
        <v>525</v>
      </c>
      <c r="C20" s="8">
        <v>5</v>
      </c>
    </row>
    <row r="21" spans="1:3" x14ac:dyDescent="0.25">
      <c r="A21" s="18" t="s">
        <v>6</v>
      </c>
      <c r="B21" s="21" t="s">
        <v>526</v>
      </c>
      <c r="C21" s="8">
        <v>16</v>
      </c>
    </row>
    <row r="22" spans="1:3" x14ac:dyDescent="0.25">
      <c r="A22" s="18" t="s">
        <v>8</v>
      </c>
      <c r="B22" s="23" t="s">
        <v>527</v>
      </c>
      <c r="C22" s="8">
        <v>3</v>
      </c>
    </row>
    <row r="23" spans="1:3" x14ac:dyDescent="0.25">
      <c r="A23" s="18" t="s">
        <v>512</v>
      </c>
      <c r="B23" s="21" t="s">
        <v>528</v>
      </c>
      <c r="C23" s="8">
        <v>3</v>
      </c>
    </row>
    <row r="24" spans="1:3" x14ac:dyDescent="0.25">
      <c r="A24" s="18" t="s">
        <v>9</v>
      </c>
      <c r="B24" s="21" t="s">
        <v>529</v>
      </c>
      <c r="C24" s="8">
        <v>0</v>
      </c>
    </row>
    <row r="25" spans="1:3" x14ac:dyDescent="0.25">
      <c r="A25" s="18" t="s">
        <v>10</v>
      </c>
      <c r="B25" s="21" t="s">
        <v>530</v>
      </c>
      <c r="C25" s="8">
        <v>2</v>
      </c>
    </row>
    <row r="26" spans="1:3" x14ac:dyDescent="0.25">
      <c r="A26" s="18" t="s">
        <v>11</v>
      </c>
      <c r="B26" s="21" t="s">
        <v>531</v>
      </c>
      <c r="C26" s="8">
        <v>7</v>
      </c>
    </row>
    <row r="27" spans="1:3" x14ac:dyDescent="0.25">
      <c r="A27" s="18" t="s">
        <v>12</v>
      </c>
      <c r="B27" s="21" t="s">
        <v>532</v>
      </c>
      <c r="C27" s="8">
        <v>4</v>
      </c>
    </row>
    <row r="28" spans="1:3" x14ac:dyDescent="0.25">
      <c r="A28" s="18" t="s">
        <v>13</v>
      </c>
      <c r="B28" s="21" t="s">
        <v>533</v>
      </c>
      <c r="C28" s="8">
        <v>4</v>
      </c>
    </row>
    <row r="29" spans="1:3" x14ac:dyDescent="0.25">
      <c r="A29" s="18" t="s">
        <v>14</v>
      </c>
      <c r="B29" s="21" t="s">
        <v>534</v>
      </c>
      <c r="C29" s="8">
        <v>4</v>
      </c>
    </row>
    <row r="30" spans="1:3" x14ac:dyDescent="0.25">
      <c r="A30" s="18" t="s">
        <v>15</v>
      </c>
      <c r="B30" s="21" t="s">
        <v>535</v>
      </c>
      <c r="C30" s="8">
        <v>5</v>
      </c>
    </row>
    <row r="31" spans="1:3" x14ac:dyDescent="0.25">
      <c r="A31" s="18" t="s">
        <v>16</v>
      </c>
      <c r="B31" s="21" t="s">
        <v>536</v>
      </c>
      <c r="C31" s="8">
        <v>4</v>
      </c>
    </row>
    <row r="33" spans="1:3" x14ac:dyDescent="0.25">
      <c r="A33" s="19" t="s">
        <v>505</v>
      </c>
      <c r="B33" s="20" t="s">
        <v>537</v>
      </c>
      <c r="C33" s="19" t="s">
        <v>507</v>
      </c>
    </row>
    <row r="34" spans="1:3" x14ac:dyDescent="0.25">
      <c r="A34" s="18" t="s">
        <v>2</v>
      </c>
      <c r="B34" s="21" t="s">
        <v>538</v>
      </c>
      <c r="C34" s="8">
        <v>4</v>
      </c>
    </row>
    <row r="35" spans="1:3" x14ac:dyDescent="0.25">
      <c r="A35" s="18" t="s">
        <v>3</v>
      </c>
      <c r="B35" s="23" t="s">
        <v>539</v>
      </c>
      <c r="C35" s="8">
        <v>1</v>
      </c>
    </row>
    <row r="36" spans="1:3" x14ac:dyDescent="0.25">
      <c r="A36" s="18" t="s">
        <v>5</v>
      </c>
      <c r="B36" s="21" t="s">
        <v>540</v>
      </c>
      <c r="C36" s="8">
        <v>3</v>
      </c>
    </row>
    <row r="37" spans="1:3" x14ac:dyDescent="0.25">
      <c r="A37" s="18" t="s">
        <v>6</v>
      </c>
      <c r="B37" s="21" t="s">
        <v>541</v>
      </c>
      <c r="C37" s="8">
        <v>11</v>
      </c>
    </row>
    <row r="38" spans="1:3" x14ac:dyDescent="0.25">
      <c r="A38" s="18" t="s">
        <v>512</v>
      </c>
      <c r="B38" s="21" t="s">
        <v>542</v>
      </c>
      <c r="C38" s="8">
        <v>2</v>
      </c>
    </row>
    <row r="39" spans="1:3" x14ac:dyDescent="0.25">
      <c r="A39" s="18" t="s">
        <v>8</v>
      </c>
      <c r="B39" s="23" t="s">
        <v>543</v>
      </c>
      <c r="C39" s="8">
        <v>2</v>
      </c>
    </row>
    <row r="40" spans="1:3" x14ac:dyDescent="0.25">
      <c r="A40" s="18" t="s">
        <v>9</v>
      </c>
      <c r="B40" s="21" t="s">
        <v>544</v>
      </c>
      <c r="C40" s="8">
        <v>3</v>
      </c>
    </row>
    <row r="41" spans="1:3" x14ac:dyDescent="0.25">
      <c r="A41" s="18" t="s">
        <v>10</v>
      </c>
      <c r="B41" s="21" t="s">
        <v>545</v>
      </c>
      <c r="C41" s="8">
        <v>1</v>
      </c>
    </row>
    <row r="42" spans="1:3" x14ac:dyDescent="0.25">
      <c r="A42" s="18" t="s">
        <v>11</v>
      </c>
      <c r="B42" s="21" t="s">
        <v>546</v>
      </c>
      <c r="C42" s="8">
        <v>4</v>
      </c>
    </row>
    <row r="43" spans="1:3" x14ac:dyDescent="0.25">
      <c r="A43" s="18" t="s">
        <v>12</v>
      </c>
      <c r="B43" s="21" t="s">
        <v>547</v>
      </c>
      <c r="C43" s="8">
        <v>1</v>
      </c>
    </row>
    <row r="44" spans="1:3" x14ac:dyDescent="0.25">
      <c r="A44" s="18" t="s">
        <v>13</v>
      </c>
      <c r="B44" s="21" t="s">
        <v>548</v>
      </c>
      <c r="C44" s="8">
        <v>2</v>
      </c>
    </row>
    <row r="45" spans="1:3" x14ac:dyDescent="0.25">
      <c r="A45" s="18" t="s">
        <v>14</v>
      </c>
      <c r="B45" s="23" t="s">
        <v>549</v>
      </c>
      <c r="C45" s="8">
        <v>4</v>
      </c>
    </row>
    <row r="46" spans="1:3" x14ac:dyDescent="0.25">
      <c r="A46" s="18" t="s">
        <v>15</v>
      </c>
      <c r="B46" s="23" t="s">
        <v>550</v>
      </c>
      <c r="C46" s="8">
        <v>4</v>
      </c>
    </row>
    <row r="47" spans="1:3" x14ac:dyDescent="0.25">
      <c r="A47" s="18" t="s">
        <v>16</v>
      </c>
      <c r="B47" s="23" t="s">
        <v>551</v>
      </c>
      <c r="C47" s="8">
        <v>3</v>
      </c>
    </row>
  </sheetData>
  <hyperlinks>
    <hyperlink ref="B5" r:id="rId1" xr:uid="{89BC05B9-21CD-434C-840C-100C32FC3E5C}"/>
    <hyperlink ref="B21" r:id="rId2" xr:uid="{A6CB4A72-240B-4821-9D41-B8A31B36214C}"/>
    <hyperlink ref="B37" r:id="rId3" xr:uid="{6FB751B4-C529-4B74-8D43-C39DE0F87536}"/>
    <hyperlink ref="B11" r:id="rId4" xr:uid="{BBB8E104-F44F-4948-A9FD-C60EE5036A29}"/>
    <hyperlink ref="B27" r:id="rId5" xr:uid="{FF3BCC4E-D9CB-4C94-B544-176DED5EF17C}"/>
    <hyperlink ref="B43" r:id="rId6" xr:uid="{43BFA212-2A80-4C54-9BD9-AC7C6D0153F2}"/>
    <hyperlink ref="B9" r:id="rId7" xr:uid="{2D8AF3E6-FA3A-49B3-A112-73F7E7341991}"/>
    <hyperlink ref="B25" r:id="rId8" xr:uid="{B9EB5F8C-C45B-46C0-841E-5AFB4B8B31CF}"/>
    <hyperlink ref="B41" r:id="rId9" xr:uid="{A61F70A1-9277-40DD-A2DA-055CE8ED1616}"/>
    <hyperlink ref="B15" r:id="rId10" xr:uid="{AE48F3BE-83B9-4A1F-8F07-76176C21C92B}"/>
    <hyperlink ref="B31" r:id="rId11" xr:uid="{18080DF5-80A3-4AB9-ADAC-785EEF3D8F3B}"/>
    <hyperlink ref="B14" r:id="rId12" xr:uid="{CB68BAC9-F48C-4180-9BB1-7F48FFA2076F}"/>
    <hyperlink ref="B30" r:id="rId13" xr:uid="{92285628-C6A6-4F02-B86F-C992E90A1938}"/>
    <hyperlink ref="B2" r:id="rId14" xr:uid="{01091EB5-0141-4DC8-A599-CB44EC3E502B}"/>
    <hyperlink ref="B18" r:id="rId15" xr:uid="{0F980F29-39F3-4BD9-B01D-ED82FDF007C9}"/>
    <hyperlink ref="B34" r:id="rId16" xr:uid="{45D9D7FE-0BB6-461B-BFE3-672585FB934B}"/>
    <hyperlink ref="B10" r:id="rId17" xr:uid="{04776562-6983-41C3-A8DC-FF6B2F5552BD}"/>
    <hyperlink ref="B26" r:id="rId18" xr:uid="{E406E7FF-7EFE-44E8-B71B-10BFB7A27A1D}"/>
    <hyperlink ref="B42" r:id="rId19" xr:uid="{37A99CFD-5E3B-412E-BE6F-338DD83C197E}"/>
    <hyperlink ref="B13" r:id="rId20" xr:uid="{E3DB5383-90A5-4835-97AC-247537AF0790}"/>
    <hyperlink ref="B12" r:id="rId21" xr:uid="{08A54C26-B287-4F05-BE51-BB9E2AF68FE2}"/>
    <hyperlink ref="B28" r:id="rId22" xr:uid="{6D585514-C945-40DB-BDE2-D181E87DD461}"/>
    <hyperlink ref="B44" r:id="rId23" xr:uid="{A3331F1C-E978-46A6-AA6D-2F215C555C85}"/>
    <hyperlink ref="B8" r:id="rId24" xr:uid="{EC9FF12D-4DBF-4BC2-93E9-9090BF1A937F}"/>
    <hyperlink ref="B24" r:id="rId25" xr:uid="{946E9861-A41B-49D7-906C-1B907FA3D5F2}"/>
    <hyperlink ref="B40" r:id="rId26" xr:uid="{2319AF38-F01A-4DD8-A192-A62DDE36318D}"/>
    <hyperlink ref="B4" r:id="rId27" xr:uid="{431A13DC-19B8-4316-A07E-68565968335D}"/>
    <hyperlink ref="B20" r:id="rId28" xr:uid="{1236A973-B3F4-49C6-BF4D-3F529C1B3DFB}"/>
    <hyperlink ref="B36" r:id="rId29" xr:uid="{2ACA8F7F-C69F-451B-81A6-FF497B0F4618}"/>
    <hyperlink ref="B29" r:id="rId30" xr:uid="{50F110FD-946D-4115-9AB4-DE0254E153CC}"/>
    <hyperlink ref="B38" r:id="rId31" xr:uid="{E952B125-4470-4F44-AD31-D44B6EB44714}"/>
    <hyperlink ref="B23" r:id="rId32" xr:uid="{B86599C9-2DCC-425D-82BD-55045998C548}"/>
    <hyperlink ref="B6" r:id="rId33" xr:uid="{B9162FF5-A600-495B-9081-415E568679CE}"/>
    <hyperlink ref="B7" r:id="rId34" xr:uid="{3D83DD9F-9B5A-48F6-9A0C-5C680C7428D3}"/>
    <hyperlink ref="B39" r:id="rId35" xr:uid="{29F4F311-699C-4AF2-ADFB-6493D3BC869C}"/>
    <hyperlink ref="B22" r:id="rId36" xr:uid="{6EE84933-5567-4217-BB34-67440905D38F}"/>
    <hyperlink ref="B45" r:id="rId37" xr:uid="{607A46B8-61FA-4647-A2A3-88AB8BA1F342}"/>
    <hyperlink ref="B46" r:id="rId38" xr:uid="{1C3818BC-B23F-4B9E-837A-B353F2B6CB51}"/>
    <hyperlink ref="B47" r:id="rId39" xr:uid="{253631FA-13D2-42C2-AA93-966DF392E2F7}"/>
    <hyperlink ref="B3" r:id="rId40" xr:uid="{CAFF1067-9B5F-4A0B-860E-371C5D2D88B0}"/>
    <hyperlink ref="B19" r:id="rId41" xr:uid="{93185D75-2B07-4786-912B-05150F78D5BD}"/>
    <hyperlink ref="B35" r:id="rId42" xr:uid="{E95A1890-F035-4958-950F-AF458176AFA7}"/>
  </hyperlinks>
  <pageMargins left="0.511811024" right="0.511811024" top="0.78740157499999996" bottom="0.78740157499999996" header="0.31496062000000002" footer="0.31496062000000002"/>
  <pageSetup scale="83" orientation="portrait" r:id="rId4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7D2E-2916-1344-9964-A548676770C0}">
  <dimension ref="A1:D128"/>
  <sheetViews>
    <sheetView topLeftCell="A22" workbookViewId="0">
      <selection activeCell="B53" sqref="B53"/>
    </sheetView>
  </sheetViews>
  <sheetFormatPr defaultColWidth="11" defaultRowHeight="15.75" x14ac:dyDescent="0.25"/>
  <cols>
    <col min="1" max="1" width="50.875" bestFit="1" customWidth="1"/>
    <col min="3" max="3" width="18.625" customWidth="1"/>
  </cols>
  <sheetData>
    <row r="1" spans="1:4" x14ac:dyDescent="0.25">
      <c r="A1" s="83" t="s">
        <v>552</v>
      </c>
      <c r="B1" s="83" t="s">
        <v>553</v>
      </c>
      <c r="C1" s="84" t="s">
        <v>554</v>
      </c>
      <c r="D1" s="85">
        <v>44551</v>
      </c>
    </row>
    <row r="2" spans="1:4" x14ac:dyDescent="0.25">
      <c r="A2" t="s">
        <v>555</v>
      </c>
      <c r="B2" t="s">
        <v>556</v>
      </c>
    </row>
    <row r="3" spans="1:4" x14ac:dyDescent="0.25">
      <c r="A3" t="s">
        <v>448</v>
      </c>
      <c r="B3" t="s">
        <v>557</v>
      </c>
    </row>
    <row r="4" spans="1:4" x14ac:dyDescent="0.25">
      <c r="A4" t="s">
        <v>558</v>
      </c>
      <c r="B4" t="s">
        <v>556</v>
      </c>
    </row>
    <row r="5" spans="1:4" x14ac:dyDescent="0.25">
      <c r="A5" t="s">
        <v>451</v>
      </c>
      <c r="B5" t="s">
        <v>557</v>
      </c>
    </row>
    <row r="6" spans="1:4" x14ac:dyDescent="0.25">
      <c r="A6" t="s">
        <v>449</v>
      </c>
      <c r="B6" t="s">
        <v>557</v>
      </c>
    </row>
    <row r="7" spans="1:4" x14ac:dyDescent="0.25">
      <c r="A7" t="s">
        <v>559</v>
      </c>
      <c r="B7" t="s">
        <v>560</v>
      </c>
    </row>
    <row r="8" spans="1:4" x14ac:dyDescent="0.25">
      <c r="A8" t="s">
        <v>561</v>
      </c>
      <c r="B8" t="s">
        <v>560</v>
      </c>
    </row>
    <row r="9" spans="1:4" x14ac:dyDescent="0.25">
      <c r="A9" t="s">
        <v>456</v>
      </c>
      <c r="B9" t="s">
        <v>557</v>
      </c>
    </row>
    <row r="10" spans="1:4" x14ac:dyDescent="0.25">
      <c r="A10" t="s">
        <v>562</v>
      </c>
      <c r="B10" t="s">
        <v>560</v>
      </c>
    </row>
    <row r="11" spans="1:4" x14ac:dyDescent="0.25">
      <c r="A11" t="s">
        <v>563</v>
      </c>
      <c r="B11" t="s">
        <v>556</v>
      </c>
    </row>
    <row r="12" spans="1:4" x14ac:dyDescent="0.25">
      <c r="A12" t="s">
        <v>564</v>
      </c>
      <c r="B12" t="s">
        <v>560</v>
      </c>
    </row>
    <row r="13" spans="1:4" x14ac:dyDescent="0.25">
      <c r="A13" t="s">
        <v>565</v>
      </c>
      <c r="B13" t="s">
        <v>560</v>
      </c>
    </row>
    <row r="14" spans="1:4" x14ac:dyDescent="0.25">
      <c r="A14" t="s">
        <v>566</v>
      </c>
      <c r="B14" t="s">
        <v>560</v>
      </c>
    </row>
    <row r="15" spans="1:4" x14ac:dyDescent="0.25">
      <c r="A15" t="s">
        <v>567</v>
      </c>
      <c r="B15" t="s">
        <v>560</v>
      </c>
    </row>
    <row r="16" spans="1:4" x14ac:dyDescent="0.25">
      <c r="A16" t="s">
        <v>568</v>
      </c>
      <c r="B16" t="s">
        <v>556</v>
      </c>
    </row>
    <row r="17" spans="1:2" x14ac:dyDescent="0.25">
      <c r="A17" t="s">
        <v>108</v>
      </c>
      <c r="B17" t="s">
        <v>557</v>
      </c>
    </row>
    <row r="18" spans="1:2" x14ac:dyDescent="0.25">
      <c r="A18" t="s">
        <v>452</v>
      </c>
      <c r="B18" t="s">
        <v>560</v>
      </c>
    </row>
    <row r="19" spans="1:2" x14ac:dyDescent="0.25">
      <c r="A19" t="s">
        <v>569</v>
      </c>
      <c r="B19" t="s">
        <v>560</v>
      </c>
    </row>
    <row r="20" spans="1:2" x14ac:dyDescent="0.25">
      <c r="A20" t="s">
        <v>248</v>
      </c>
      <c r="B20" t="s">
        <v>560</v>
      </c>
    </row>
    <row r="21" spans="1:2" x14ac:dyDescent="0.25">
      <c r="A21" t="s">
        <v>570</v>
      </c>
      <c r="B21" t="s">
        <v>557</v>
      </c>
    </row>
    <row r="22" spans="1:2" x14ac:dyDescent="0.25">
      <c r="A22" t="s">
        <v>571</v>
      </c>
      <c r="B22" t="s">
        <v>556</v>
      </c>
    </row>
    <row r="23" spans="1:2" x14ac:dyDescent="0.25">
      <c r="A23" t="s">
        <v>462</v>
      </c>
      <c r="B23" t="s">
        <v>557</v>
      </c>
    </row>
    <row r="24" spans="1:2" x14ac:dyDescent="0.25">
      <c r="A24" t="s">
        <v>465</v>
      </c>
      <c r="B24" t="s">
        <v>557</v>
      </c>
    </row>
    <row r="25" spans="1:2" x14ac:dyDescent="0.25">
      <c r="A25" t="s">
        <v>572</v>
      </c>
      <c r="B25" t="s">
        <v>556</v>
      </c>
    </row>
    <row r="26" spans="1:2" x14ac:dyDescent="0.25">
      <c r="A26" t="s">
        <v>467</v>
      </c>
      <c r="B26" t="s">
        <v>556</v>
      </c>
    </row>
    <row r="27" spans="1:2" x14ac:dyDescent="0.25">
      <c r="A27" t="s">
        <v>82</v>
      </c>
      <c r="B27" t="s">
        <v>560</v>
      </c>
    </row>
    <row r="28" spans="1:2" x14ac:dyDescent="0.25">
      <c r="A28" t="s">
        <v>455</v>
      </c>
      <c r="B28" t="s">
        <v>557</v>
      </c>
    </row>
    <row r="29" spans="1:2" x14ac:dyDescent="0.25">
      <c r="A29" t="s">
        <v>136</v>
      </c>
      <c r="B29" t="s">
        <v>560</v>
      </c>
    </row>
    <row r="30" spans="1:2" x14ac:dyDescent="0.25">
      <c r="A30" t="s">
        <v>157</v>
      </c>
      <c r="B30" t="s">
        <v>560</v>
      </c>
    </row>
    <row r="31" spans="1:2" x14ac:dyDescent="0.25">
      <c r="A31" t="s">
        <v>573</v>
      </c>
      <c r="B31" t="s">
        <v>560</v>
      </c>
    </row>
    <row r="32" spans="1:2" x14ac:dyDescent="0.25">
      <c r="A32" t="s">
        <v>574</v>
      </c>
      <c r="B32" t="s">
        <v>556</v>
      </c>
    </row>
    <row r="33" spans="1:2" x14ac:dyDescent="0.25">
      <c r="A33" t="s">
        <v>472</v>
      </c>
      <c r="B33" t="s">
        <v>560</v>
      </c>
    </row>
    <row r="34" spans="1:2" x14ac:dyDescent="0.25">
      <c r="A34" t="s">
        <v>575</v>
      </c>
      <c r="B34" t="s">
        <v>560</v>
      </c>
    </row>
    <row r="35" spans="1:2" x14ac:dyDescent="0.25">
      <c r="A35" t="s">
        <v>576</v>
      </c>
      <c r="B35" t="s">
        <v>556</v>
      </c>
    </row>
    <row r="36" spans="1:2" x14ac:dyDescent="0.25">
      <c r="A36" t="s">
        <v>186</v>
      </c>
      <c r="B36" t="s">
        <v>557</v>
      </c>
    </row>
    <row r="37" spans="1:2" x14ac:dyDescent="0.25">
      <c r="A37" t="s">
        <v>577</v>
      </c>
      <c r="B37" t="s">
        <v>560</v>
      </c>
    </row>
    <row r="38" spans="1:2" x14ac:dyDescent="0.25">
      <c r="A38" t="s">
        <v>578</v>
      </c>
      <c r="B38" t="s">
        <v>556</v>
      </c>
    </row>
    <row r="39" spans="1:2" x14ac:dyDescent="0.25">
      <c r="A39" t="s">
        <v>579</v>
      </c>
      <c r="B39" t="s">
        <v>556</v>
      </c>
    </row>
    <row r="40" spans="1:2" x14ac:dyDescent="0.25">
      <c r="A40" t="s">
        <v>580</v>
      </c>
      <c r="B40" t="s">
        <v>560</v>
      </c>
    </row>
    <row r="41" spans="1:2" x14ac:dyDescent="0.25">
      <c r="A41" t="s">
        <v>124</v>
      </c>
      <c r="B41" t="s">
        <v>560</v>
      </c>
    </row>
    <row r="42" spans="1:2" x14ac:dyDescent="0.25">
      <c r="A42" t="s">
        <v>477</v>
      </c>
      <c r="B42" t="s">
        <v>557</v>
      </c>
    </row>
    <row r="43" spans="1:2" x14ac:dyDescent="0.25">
      <c r="A43" t="s">
        <v>457</v>
      </c>
      <c r="B43" t="s">
        <v>557</v>
      </c>
    </row>
    <row r="44" spans="1:2" x14ac:dyDescent="0.25">
      <c r="A44" t="s">
        <v>581</v>
      </c>
      <c r="B44" t="s">
        <v>560</v>
      </c>
    </row>
    <row r="45" spans="1:2" x14ac:dyDescent="0.25">
      <c r="A45" t="s">
        <v>481</v>
      </c>
      <c r="B45" t="s">
        <v>557</v>
      </c>
    </row>
    <row r="46" spans="1:2" x14ac:dyDescent="0.25">
      <c r="A46" t="s">
        <v>582</v>
      </c>
      <c r="B46" t="s">
        <v>556</v>
      </c>
    </row>
    <row r="47" spans="1:2" x14ac:dyDescent="0.25">
      <c r="A47" t="s">
        <v>460</v>
      </c>
      <c r="B47" t="s">
        <v>557</v>
      </c>
    </row>
    <row r="48" spans="1:2" x14ac:dyDescent="0.25">
      <c r="A48" t="s">
        <v>119</v>
      </c>
      <c r="B48" t="s">
        <v>560</v>
      </c>
    </row>
    <row r="49" spans="1:2" x14ac:dyDescent="0.25">
      <c r="A49" t="s">
        <v>583</v>
      </c>
      <c r="B49" t="s">
        <v>560</v>
      </c>
    </row>
    <row r="50" spans="1:2" x14ac:dyDescent="0.25">
      <c r="A50" t="s">
        <v>450</v>
      </c>
      <c r="B50" t="s">
        <v>557</v>
      </c>
    </row>
    <row r="51" spans="1:2" x14ac:dyDescent="0.25">
      <c r="A51" t="s">
        <v>489</v>
      </c>
      <c r="B51" t="s">
        <v>557</v>
      </c>
    </row>
    <row r="52" spans="1:2" x14ac:dyDescent="0.25">
      <c r="A52" t="s">
        <v>117</v>
      </c>
      <c r="B52" t="s">
        <v>560</v>
      </c>
    </row>
    <row r="53" spans="1:2" x14ac:dyDescent="0.25">
      <c r="A53" t="s">
        <v>68</v>
      </c>
      <c r="B53" t="s">
        <v>557</v>
      </c>
    </row>
    <row r="54" spans="1:2" x14ac:dyDescent="0.25">
      <c r="A54" t="s">
        <v>584</v>
      </c>
      <c r="B54" t="s">
        <v>560</v>
      </c>
    </row>
    <row r="55" spans="1:2" x14ac:dyDescent="0.25">
      <c r="A55" t="s">
        <v>585</v>
      </c>
      <c r="B55" t="s">
        <v>557</v>
      </c>
    </row>
    <row r="56" spans="1:2" x14ac:dyDescent="0.25">
      <c r="A56" t="s">
        <v>586</v>
      </c>
      <c r="B56" t="s">
        <v>560</v>
      </c>
    </row>
    <row r="57" spans="1:2" x14ac:dyDescent="0.25">
      <c r="A57" t="s">
        <v>127</v>
      </c>
      <c r="B57" t="s">
        <v>560</v>
      </c>
    </row>
    <row r="58" spans="1:2" x14ac:dyDescent="0.25">
      <c r="A58" t="s">
        <v>454</v>
      </c>
      <c r="B58" t="s">
        <v>557</v>
      </c>
    </row>
    <row r="59" spans="1:2" x14ac:dyDescent="0.25">
      <c r="A59" t="s">
        <v>79</v>
      </c>
      <c r="B59" t="s">
        <v>560</v>
      </c>
    </row>
    <row r="60" spans="1:2" x14ac:dyDescent="0.25">
      <c r="A60" t="s">
        <v>469</v>
      </c>
      <c r="B60" t="s">
        <v>557</v>
      </c>
    </row>
    <row r="61" spans="1:2" x14ac:dyDescent="0.25">
      <c r="A61" t="s">
        <v>587</v>
      </c>
      <c r="B61" t="s">
        <v>560</v>
      </c>
    </row>
    <row r="62" spans="1:2" x14ac:dyDescent="0.25">
      <c r="A62" t="s">
        <v>193</v>
      </c>
      <c r="B62" t="s">
        <v>557</v>
      </c>
    </row>
    <row r="63" spans="1:2" x14ac:dyDescent="0.25">
      <c r="A63" t="s">
        <v>473</v>
      </c>
      <c r="B63" t="s">
        <v>556</v>
      </c>
    </row>
    <row r="64" spans="1:2" x14ac:dyDescent="0.25">
      <c r="A64" t="s">
        <v>588</v>
      </c>
      <c r="B64" t="s">
        <v>560</v>
      </c>
    </row>
    <row r="65" spans="1:2" x14ac:dyDescent="0.25">
      <c r="A65" t="s">
        <v>589</v>
      </c>
      <c r="B65" t="s">
        <v>560</v>
      </c>
    </row>
    <row r="66" spans="1:2" x14ac:dyDescent="0.25">
      <c r="A66" t="s">
        <v>590</v>
      </c>
      <c r="B66" t="s">
        <v>560</v>
      </c>
    </row>
    <row r="67" spans="1:2" x14ac:dyDescent="0.25">
      <c r="A67" t="s">
        <v>243</v>
      </c>
      <c r="B67" t="s">
        <v>557</v>
      </c>
    </row>
    <row r="68" spans="1:2" x14ac:dyDescent="0.25">
      <c r="A68" t="s">
        <v>591</v>
      </c>
      <c r="B68" t="s">
        <v>560</v>
      </c>
    </row>
    <row r="69" spans="1:2" x14ac:dyDescent="0.25">
      <c r="A69" t="s">
        <v>475</v>
      </c>
      <c r="B69" t="s">
        <v>557</v>
      </c>
    </row>
    <row r="70" spans="1:2" x14ac:dyDescent="0.25">
      <c r="A70" t="s">
        <v>478</v>
      </c>
      <c r="B70" t="s">
        <v>557</v>
      </c>
    </row>
    <row r="71" spans="1:2" x14ac:dyDescent="0.25">
      <c r="A71" t="s">
        <v>458</v>
      </c>
      <c r="B71" t="s">
        <v>557</v>
      </c>
    </row>
    <row r="72" spans="1:2" x14ac:dyDescent="0.25">
      <c r="A72" t="s">
        <v>592</v>
      </c>
      <c r="B72" t="s">
        <v>560</v>
      </c>
    </row>
    <row r="73" spans="1:2" x14ac:dyDescent="0.25">
      <c r="A73" t="s">
        <v>593</v>
      </c>
      <c r="B73" t="s">
        <v>560</v>
      </c>
    </row>
    <row r="74" spans="1:2" x14ac:dyDescent="0.25">
      <c r="A74" t="s">
        <v>85</v>
      </c>
      <c r="B74" t="s">
        <v>557</v>
      </c>
    </row>
    <row r="75" spans="1:2" x14ac:dyDescent="0.25">
      <c r="A75" t="s">
        <v>594</v>
      </c>
      <c r="B75" t="s">
        <v>556</v>
      </c>
    </row>
    <row r="76" spans="1:2" x14ac:dyDescent="0.25">
      <c r="A76" t="s">
        <v>114</v>
      </c>
      <c r="B76" t="s">
        <v>560</v>
      </c>
    </row>
    <row r="77" spans="1:2" x14ac:dyDescent="0.25">
      <c r="A77" t="s">
        <v>480</v>
      </c>
      <c r="B77" t="s">
        <v>557</v>
      </c>
    </row>
    <row r="78" spans="1:2" x14ac:dyDescent="0.25">
      <c r="A78" t="s">
        <v>595</v>
      </c>
      <c r="B78" t="s">
        <v>560</v>
      </c>
    </row>
    <row r="79" spans="1:2" x14ac:dyDescent="0.25">
      <c r="A79" t="s">
        <v>596</v>
      </c>
      <c r="B79" t="s">
        <v>560</v>
      </c>
    </row>
    <row r="80" spans="1:2" x14ac:dyDescent="0.25">
      <c r="A80" t="s">
        <v>597</v>
      </c>
      <c r="B80" t="s">
        <v>560</v>
      </c>
    </row>
    <row r="81" spans="1:2" x14ac:dyDescent="0.25">
      <c r="A81" t="s">
        <v>598</v>
      </c>
      <c r="B81" t="s">
        <v>556</v>
      </c>
    </row>
    <row r="82" spans="1:2" x14ac:dyDescent="0.25">
      <c r="A82" t="s">
        <v>599</v>
      </c>
      <c r="B82" t="s">
        <v>556</v>
      </c>
    </row>
    <row r="83" spans="1:2" x14ac:dyDescent="0.25">
      <c r="A83" t="s">
        <v>600</v>
      </c>
      <c r="B83" t="s">
        <v>556</v>
      </c>
    </row>
    <row r="84" spans="1:2" x14ac:dyDescent="0.25">
      <c r="A84" t="s">
        <v>601</v>
      </c>
      <c r="B84" t="s">
        <v>557</v>
      </c>
    </row>
    <row r="85" spans="1:2" x14ac:dyDescent="0.25">
      <c r="A85" t="s">
        <v>602</v>
      </c>
      <c r="B85" t="s">
        <v>560</v>
      </c>
    </row>
    <row r="86" spans="1:2" x14ac:dyDescent="0.25">
      <c r="A86" t="s">
        <v>603</v>
      </c>
      <c r="B86" t="s">
        <v>556</v>
      </c>
    </row>
    <row r="87" spans="1:2" x14ac:dyDescent="0.25">
      <c r="A87" t="s">
        <v>604</v>
      </c>
      <c r="B87" t="s">
        <v>560</v>
      </c>
    </row>
    <row r="88" spans="1:2" x14ac:dyDescent="0.25">
      <c r="A88" t="s">
        <v>605</v>
      </c>
      <c r="B88" t="s">
        <v>560</v>
      </c>
    </row>
    <row r="89" spans="1:2" x14ac:dyDescent="0.25">
      <c r="A89" t="s">
        <v>606</v>
      </c>
      <c r="B89" t="s">
        <v>560</v>
      </c>
    </row>
    <row r="90" spans="1:2" x14ac:dyDescent="0.25">
      <c r="A90" t="s">
        <v>607</v>
      </c>
      <c r="B90" t="s">
        <v>560</v>
      </c>
    </row>
    <row r="91" spans="1:2" x14ac:dyDescent="0.25">
      <c r="A91" t="s">
        <v>608</v>
      </c>
      <c r="B91" t="s">
        <v>560</v>
      </c>
    </row>
    <row r="92" spans="1:2" x14ac:dyDescent="0.25">
      <c r="A92" t="s">
        <v>609</v>
      </c>
      <c r="B92" t="s">
        <v>556</v>
      </c>
    </row>
    <row r="93" spans="1:2" x14ac:dyDescent="0.25">
      <c r="A93" t="s">
        <v>610</v>
      </c>
      <c r="B93" t="s">
        <v>560</v>
      </c>
    </row>
    <row r="94" spans="1:2" x14ac:dyDescent="0.25">
      <c r="A94" t="s">
        <v>459</v>
      </c>
      <c r="B94" t="s">
        <v>557</v>
      </c>
    </row>
    <row r="95" spans="1:2" x14ac:dyDescent="0.25">
      <c r="A95" t="s">
        <v>228</v>
      </c>
      <c r="B95" t="s">
        <v>557</v>
      </c>
    </row>
    <row r="96" spans="1:2" x14ac:dyDescent="0.25">
      <c r="A96" t="s">
        <v>486</v>
      </c>
      <c r="B96" t="s">
        <v>557</v>
      </c>
    </row>
    <row r="97" spans="1:2" x14ac:dyDescent="0.25">
      <c r="A97" t="s">
        <v>611</v>
      </c>
      <c r="B97" t="s">
        <v>557</v>
      </c>
    </row>
    <row r="98" spans="1:2" x14ac:dyDescent="0.25">
      <c r="A98" t="s">
        <v>612</v>
      </c>
      <c r="B98" t="s">
        <v>556</v>
      </c>
    </row>
    <row r="99" spans="1:2" x14ac:dyDescent="0.25">
      <c r="A99" t="s">
        <v>613</v>
      </c>
      <c r="B99" t="s">
        <v>556</v>
      </c>
    </row>
    <row r="100" spans="1:2" x14ac:dyDescent="0.25">
      <c r="A100" t="s">
        <v>464</v>
      </c>
      <c r="B100" t="s">
        <v>557</v>
      </c>
    </row>
    <row r="101" spans="1:2" x14ac:dyDescent="0.25">
      <c r="A101" t="s">
        <v>91</v>
      </c>
      <c r="B101" t="s">
        <v>557</v>
      </c>
    </row>
    <row r="102" spans="1:2" x14ac:dyDescent="0.25">
      <c r="A102" t="s">
        <v>614</v>
      </c>
      <c r="B102" t="s">
        <v>560</v>
      </c>
    </row>
    <row r="103" spans="1:2" x14ac:dyDescent="0.25">
      <c r="A103" t="s">
        <v>159</v>
      </c>
      <c r="B103" t="s">
        <v>560</v>
      </c>
    </row>
    <row r="104" spans="1:2" x14ac:dyDescent="0.25">
      <c r="A104" t="s">
        <v>615</v>
      </c>
      <c r="B104" t="s">
        <v>557</v>
      </c>
    </row>
    <row r="105" spans="1:2" x14ac:dyDescent="0.25">
      <c r="A105" t="s">
        <v>616</v>
      </c>
      <c r="B105" t="s">
        <v>560</v>
      </c>
    </row>
    <row r="106" spans="1:2" x14ac:dyDescent="0.25">
      <c r="A106" t="s">
        <v>617</v>
      </c>
      <c r="B106" t="s">
        <v>560</v>
      </c>
    </row>
    <row r="107" spans="1:2" x14ac:dyDescent="0.25">
      <c r="A107" t="s">
        <v>471</v>
      </c>
      <c r="B107" t="s">
        <v>557</v>
      </c>
    </row>
    <row r="108" spans="1:2" x14ac:dyDescent="0.25">
      <c r="A108" t="s">
        <v>88</v>
      </c>
      <c r="B108" t="s">
        <v>557</v>
      </c>
    </row>
    <row r="109" spans="1:2" x14ac:dyDescent="0.25">
      <c r="A109" t="s">
        <v>618</v>
      </c>
      <c r="B109" t="s">
        <v>560</v>
      </c>
    </row>
    <row r="110" spans="1:2" x14ac:dyDescent="0.25">
      <c r="A110" t="s">
        <v>491</v>
      </c>
      <c r="B110" t="s">
        <v>557</v>
      </c>
    </row>
    <row r="111" spans="1:2" x14ac:dyDescent="0.25">
      <c r="A111" t="s">
        <v>619</v>
      </c>
      <c r="B111" t="s">
        <v>560</v>
      </c>
    </row>
    <row r="112" spans="1:2" x14ac:dyDescent="0.25">
      <c r="A112" t="s">
        <v>620</v>
      </c>
      <c r="B112" t="s">
        <v>560</v>
      </c>
    </row>
    <row r="113" spans="1:2" x14ac:dyDescent="0.25">
      <c r="A113" t="s">
        <v>621</v>
      </c>
      <c r="B113" t="s">
        <v>556</v>
      </c>
    </row>
    <row r="114" spans="1:2" x14ac:dyDescent="0.25">
      <c r="A114" t="s">
        <v>622</v>
      </c>
      <c r="B114" t="s">
        <v>556</v>
      </c>
    </row>
    <row r="115" spans="1:2" x14ac:dyDescent="0.25">
      <c r="A115" t="s">
        <v>623</v>
      </c>
      <c r="B115" t="s">
        <v>556</v>
      </c>
    </row>
    <row r="116" spans="1:2" x14ac:dyDescent="0.25">
      <c r="A116" t="s">
        <v>624</v>
      </c>
      <c r="B116" t="s">
        <v>556</v>
      </c>
    </row>
    <row r="117" spans="1:2" x14ac:dyDescent="0.25">
      <c r="A117" t="s">
        <v>625</v>
      </c>
      <c r="B117" t="s">
        <v>560</v>
      </c>
    </row>
    <row r="118" spans="1:2" x14ac:dyDescent="0.25">
      <c r="A118" t="s">
        <v>626</v>
      </c>
      <c r="B118" t="s">
        <v>560</v>
      </c>
    </row>
    <row r="119" spans="1:2" x14ac:dyDescent="0.25">
      <c r="A119" t="s">
        <v>493</v>
      </c>
      <c r="B119" t="s">
        <v>557</v>
      </c>
    </row>
    <row r="120" spans="1:2" x14ac:dyDescent="0.25">
      <c r="A120" t="s">
        <v>225</v>
      </c>
      <c r="B120" t="s">
        <v>560</v>
      </c>
    </row>
    <row r="121" spans="1:2" x14ac:dyDescent="0.25">
      <c r="A121" t="s">
        <v>627</v>
      </c>
      <c r="B121" t="s">
        <v>560</v>
      </c>
    </row>
    <row r="122" spans="1:2" x14ac:dyDescent="0.25">
      <c r="A122" t="s">
        <v>628</v>
      </c>
      <c r="B122" t="s">
        <v>560</v>
      </c>
    </row>
    <row r="123" spans="1:2" x14ac:dyDescent="0.25">
      <c r="A123" t="s">
        <v>629</v>
      </c>
      <c r="B123" t="s">
        <v>560</v>
      </c>
    </row>
    <row r="124" spans="1:2" x14ac:dyDescent="0.25">
      <c r="A124" t="s">
        <v>630</v>
      </c>
      <c r="B124" t="s">
        <v>560</v>
      </c>
    </row>
    <row r="125" spans="1:2" x14ac:dyDescent="0.25">
      <c r="A125" t="s">
        <v>631</v>
      </c>
      <c r="B125" t="s">
        <v>557</v>
      </c>
    </row>
    <row r="126" spans="1:2" x14ac:dyDescent="0.25">
      <c r="A126" t="s">
        <v>632</v>
      </c>
      <c r="B126" t="s">
        <v>560</v>
      </c>
    </row>
    <row r="127" spans="1:2" x14ac:dyDescent="0.25">
      <c r="A127" t="s">
        <v>633</v>
      </c>
      <c r="B127" t="s">
        <v>556</v>
      </c>
    </row>
    <row r="128" spans="1:2" x14ac:dyDescent="0.25">
      <c r="A128" t="s">
        <v>634</v>
      </c>
      <c r="B128" t="s">
        <v>556</v>
      </c>
    </row>
  </sheetData>
  <autoFilter ref="A1:B1" xr:uid="{1AA5FBAE-BF16-B74E-B0A0-6FF125C418B8}">
    <sortState xmlns:xlrd2="http://schemas.microsoft.com/office/spreadsheetml/2017/richdata2"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3FFA-EEFA-844E-8ABA-EA43AF4D3064}">
  <dimension ref="A1:E18"/>
  <sheetViews>
    <sheetView workbookViewId="0">
      <selection activeCell="B9" sqref="B9"/>
    </sheetView>
  </sheetViews>
  <sheetFormatPr defaultColWidth="11" defaultRowHeight="15.75" x14ac:dyDescent="0.25"/>
  <cols>
    <col min="1" max="1" width="50.875" bestFit="1" customWidth="1"/>
    <col min="2" max="2" width="14.875" bestFit="1" customWidth="1"/>
    <col min="3" max="3" width="14.875" customWidth="1"/>
    <col min="4" max="4" width="18.625" customWidth="1"/>
  </cols>
  <sheetData>
    <row r="1" spans="1:5" x14ac:dyDescent="0.25">
      <c r="A1" s="83" t="s">
        <v>552</v>
      </c>
      <c r="B1" s="83" t="s">
        <v>553</v>
      </c>
      <c r="C1" s="83" t="s">
        <v>635</v>
      </c>
      <c r="D1" s="84" t="s">
        <v>554</v>
      </c>
      <c r="E1" s="85">
        <v>44717</v>
      </c>
    </row>
    <row r="2" spans="1:5" x14ac:dyDescent="0.25">
      <c r="A2" t="s">
        <v>2</v>
      </c>
      <c r="B2" t="s">
        <v>636</v>
      </c>
      <c r="C2" s="71" t="s">
        <v>637</v>
      </c>
    </row>
    <row r="3" spans="1:5" x14ac:dyDescent="0.25">
      <c r="A3" t="s">
        <v>1</v>
      </c>
      <c r="B3" t="s">
        <v>273</v>
      </c>
      <c r="C3" s="71" t="s">
        <v>638</v>
      </c>
    </row>
    <row r="4" spans="1:5" x14ac:dyDescent="0.25">
      <c r="A4" t="s">
        <v>3</v>
      </c>
      <c r="B4" t="s">
        <v>639</v>
      </c>
      <c r="C4" s="86" t="s">
        <v>640</v>
      </c>
    </row>
    <row r="5" spans="1:5" x14ac:dyDescent="0.25">
      <c r="A5" t="s">
        <v>5</v>
      </c>
      <c r="B5" t="s">
        <v>636</v>
      </c>
      <c r="C5" s="71" t="s">
        <v>637</v>
      </c>
    </row>
    <row r="6" spans="1:5" x14ac:dyDescent="0.25">
      <c r="A6" t="s">
        <v>6</v>
      </c>
      <c r="B6" t="s">
        <v>636</v>
      </c>
      <c r="C6" s="71" t="s">
        <v>637</v>
      </c>
    </row>
    <row r="7" spans="1:5" x14ac:dyDescent="0.25">
      <c r="A7" t="s">
        <v>7</v>
      </c>
      <c r="B7" t="s">
        <v>636</v>
      </c>
      <c r="C7" s="71" t="s">
        <v>641</v>
      </c>
    </row>
    <row r="8" spans="1:5" x14ac:dyDescent="0.25">
      <c r="A8" t="s">
        <v>8</v>
      </c>
      <c r="B8" t="s">
        <v>639</v>
      </c>
      <c r="C8" s="86" t="s">
        <v>640</v>
      </c>
    </row>
    <row r="9" spans="1:5" x14ac:dyDescent="0.25">
      <c r="A9" t="s">
        <v>9</v>
      </c>
      <c r="B9" t="s">
        <v>636</v>
      </c>
      <c r="C9" s="86" t="s">
        <v>637</v>
      </c>
    </row>
    <row r="10" spans="1:5" x14ac:dyDescent="0.25">
      <c r="A10" t="s">
        <v>642</v>
      </c>
      <c r="B10" t="s">
        <v>636</v>
      </c>
      <c r="C10" s="86" t="s">
        <v>637</v>
      </c>
    </row>
    <row r="11" spans="1:5" x14ac:dyDescent="0.25">
      <c r="A11" t="s">
        <v>643</v>
      </c>
      <c r="B11" t="s">
        <v>636</v>
      </c>
      <c r="C11" s="86" t="s">
        <v>637</v>
      </c>
    </row>
    <row r="12" spans="1:5" x14ac:dyDescent="0.25">
      <c r="A12" t="s">
        <v>12</v>
      </c>
      <c r="B12" t="s">
        <v>636</v>
      </c>
      <c r="C12" s="86" t="s">
        <v>637</v>
      </c>
    </row>
    <row r="13" spans="1:5" x14ac:dyDescent="0.25">
      <c r="A13" t="s">
        <v>13</v>
      </c>
      <c r="B13" t="s">
        <v>636</v>
      </c>
      <c r="C13" s="86" t="s">
        <v>637</v>
      </c>
    </row>
    <row r="14" spans="1:5" x14ac:dyDescent="0.25">
      <c r="A14" t="s">
        <v>644</v>
      </c>
      <c r="B14" t="s">
        <v>636</v>
      </c>
      <c r="C14" s="86" t="s">
        <v>637</v>
      </c>
    </row>
    <row r="15" spans="1:5" x14ac:dyDescent="0.25">
      <c r="A15" t="s">
        <v>645</v>
      </c>
      <c r="B15" t="s">
        <v>273</v>
      </c>
      <c r="C15" s="71" t="s">
        <v>638</v>
      </c>
    </row>
    <row r="16" spans="1:5" x14ac:dyDescent="0.25">
      <c r="A16" t="s">
        <v>15</v>
      </c>
      <c r="B16" t="s">
        <v>636</v>
      </c>
      <c r="C16" s="86" t="s">
        <v>646</v>
      </c>
    </row>
    <row r="17" spans="1:3" x14ac:dyDescent="0.25">
      <c r="A17" t="s">
        <v>16</v>
      </c>
      <c r="B17" t="s">
        <v>636</v>
      </c>
      <c r="C17" s="86" t="s">
        <v>646</v>
      </c>
    </row>
    <row r="18" spans="1:3" x14ac:dyDescent="0.25">
      <c r="A18" t="s">
        <v>647</v>
      </c>
      <c r="B18" t="s">
        <v>273</v>
      </c>
      <c r="C18" s="86" t="s">
        <v>648</v>
      </c>
    </row>
  </sheetData>
  <autoFilter ref="A1:C1" xr:uid="{B9126F26-5224-1148-A1ED-81C17DEFA3F9}">
    <sortState xmlns:xlrd2="http://schemas.microsoft.com/office/spreadsheetml/2017/richdata2"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defaultColWidth="11" defaultRowHeight="15.75" x14ac:dyDescent="0.25"/>
  <cols>
    <col min="1" max="1" width="46.125" bestFit="1" customWidth="1"/>
    <col min="2" max="17" width="5.875" style="2" customWidth="1"/>
    <col min="18" max="18" width="14.875" style="2" customWidth="1"/>
    <col min="19" max="19" width="5.375" style="2" bestFit="1" customWidth="1"/>
    <col min="20" max="20" width="5.375" customWidth="1"/>
    <col min="21" max="21" width="4.625" bestFit="1" customWidth="1"/>
    <col min="22" max="22" width="5.625" bestFit="1" customWidth="1"/>
    <col min="30" max="30" width="12.375" bestFit="1" customWidth="1"/>
  </cols>
  <sheetData>
    <row r="1" spans="1:22" ht="117.75" x14ac:dyDescent="0.25">
      <c r="A1" s="5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4" t="s">
        <v>10</v>
      </c>
      <c r="L1" s="94" t="s">
        <v>11</v>
      </c>
      <c r="M1" s="94" t="s">
        <v>12</v>
      </c>
      <c r="N1" s="94" t="s">
        <v>13</v>
      </c>
      <c r="O1" s="94" t="s">
        <v>14</v>
      </c>
      <c r="P1" s="94" t="s">
        <v>15</v>
      </c>
      <c r="Q1" s="94" t="s">
        <v>16</v>
      </c>
      <c r="R1" s="35" t="s">
        <v>17</v>
      </c>
      <c r="S1" s="29" t="s">
        <v>18</v>
      </c>
      <c r="U1" s="29" t="s">
        <v>649</v>
      </c>
    </row>
    <row r="2" spans="1:22" x14ac:dyDescent="0.25">
      <c r="A2" s="5" t="s">
        <v>19</v>
      </c>
      <c r="B2" s="77">
        <v>1</v>
      </c>
      <c r="C2" s="77">
        <v>2</v>
      </c>
      <c r="D2" s="77"/>
      <c r="E2" s="77"/>
      <c r="F2" s="77">
        <v>2</v>
      </c>
      <c r="G2" s="77">
        <v>2</v>
      </c>
      <c r="H2" s="77">
        <v>2</v>
      </c>
      <c r="I2" s="77">
        <v>1</v>
      </c>
      <c r="J2" s="77">
        <v>2</v>
      </c>
      <c r="K2" s="77">
        <v>2</v>
      </c>
      <c r="L2" s="77">
        <v>2</v>
      </c>
      <c r="M2" s="77">
        <v>2</v>
      </c>
      <c r="N2" s="77">
        <v>2</v>
      </c>
      <c r="O2" s="77">
        <v>2</v>
      </c>
      <c r="P2" s="77">
        <v>2</v>
      </c>
      <c r="Q2" s="77">
        <v>2</v>
      </c>
      <c r="S2" s="9">
        <f>SUM(B2:Q2)/4</f>
        <v>6.5</v>
      </c>
      <c r="T2" s="101"/>
    </row>
    <row r="3" spans="1:22" x14ac:dyDescent="0.25">
      <c r="A3" s="33" t="s">
        <v>20</v>
      </c>
    </row>
    <row r="4" spans="1:22" x14ac:dyDescent="0.25">
      <c r="A4" s="10" t="s">
        <v>21</v>
      </c>
      <c r="B4" s="14">
        <f>SUMIFS(Conferencias!$AB:$AB,Conferencias!K:K,1)</f>
        <v>0.1</v>
      </c>
      <c r="C4" s="14">
        <f>SUMIFS(Conferencias!$AB:$AB,Conferencias!L:L,1)</f>
        <v>1.85</v>
      </c>
      <c r="D4" s="14">
        <f>SUMIFS(Conferencias!$AB:$AB,Conferencias!M:M,1)</f>
        <v>0.2</v>
      </c>
      <c r="E4" s="14">
        <f>SUMIFS(Conferencias!$AB:$AB,Conferencias!N:N,1)</f>
        <v>0</v>
      </c>
      <c r="F4" s="14">
        <f>SUMIFS(Conferencias!$AB:$AB,Conferencias!O:O,1)</f>
        <v>4.125</v>
      </c>
      <c r="G4" s="14">
        <f>SUMIFS(Conferencias!$AB:$AB,Conferencias!P:P,1)</f>
        <v>6.4749999999999996</v>
      </c>
      <c r="H4" s="14">
        <f>SUMIFS(Conferencias!$AB:$AB,Conferencias!Q:Q,1)</f>
        <v>0.4</v>
      </c>
      <c r="I4" s="14">
        <f>SUMIFS(Conferencias!$AB:$AB,Conferencias!R:R,1)</f>
        <v>0.05</v>
      </c>
      <c r="J4" s="14">
        <f>SUMIFS(Conferencias!$AB:$AB,Conferencias!S:S,1)</f>
        <v>3.7749999999999999</v>
      </c>
      <c r="K4" s="14">
        <f>SUMIFS(Conferencias!$AB:$AB,Conferencias!T:T,1)</f>
        <v>0.625</v>
      </c>
      <c r="L4" s="14">
        <f>SUMIFS(Conferencias!$AB:$AB,Conferencias!U:U,1)</f>
        <v>2.8</v>
      </c>
      <c r="M4" s="14">
        <f>SUMIFS(Conferencias!$AB:$AB,Conferencias!V:V,1)</f>
        <v>0.92500000000000004</v>
      </c>
      <c r="N4" s="14">
        <f>SUMIFS(Conferencias!$AB:$AB,Conferencias!W:W,1)</f>
        <v>1.7749999999999999</v>
      </c>
      <c r="O4" s="14">
        <f>SUMIFS(Conferencias!$AB:$AB,Conferencias!X:X,1)</f>
        <v>0.2</v>
      </c>
      <c r="P4" s="14">
        <f>SUMIFS(Conferencias!$AB:$AB,Conferencias!Y:Y,1)</f>
        <v>4.1749999999999998</v>
      </c>
      <c r="Q4" s="14">
        <f>SUMIFS(Conferencias!$AB:$AB,Conferencias!Z:Z,1)</f>
        <v>2.8</v>
      </c>
      <c r="R4" s="26">
        <f>SUM(Conferencias!$AB:$AB)/SUM(B$2:Q$2)</f>
        <v>0.74038461538461553</v>
      </c>
      <c r="S4" s="26">
        <f>R4*4</f>
        <v>2.9615384615384621</v>
      </c>
      <c r="U4" s="26">
        <v>3.86</v>
      </c>
      <c r="V4" s="102">
        <f>S4/U4</f>
        <v>0.76723794340374674</v>
      </c>
    </row>
    <row r="5" spans="1:22" x14ac:dyDescent="0.25">
      <c r="A5" s="4" t="s">
        <v>22</v>
      </c>
      <c r="B5" s="13">
        <f>SUMIFS(Conferencias!$AB:$AB,Conferencias!K:K,1,Conferencias!$H:$H,1)</f>
        <v>0</v>
      </c>
      <c r="C5" s="13">
        <f>SUMIFS(Conferencias!$AB:$AB,Conferencias!L:L,1,Conferencias!$H:$H,1)</f>
        <v>1.25</v>
      </c>
      <c r="D5" s="13">
        <f>SUMIFS(Conferencias!$AB:$AB,Conferencias!M:M,1,Conferencias!$H:$H,1)</f>
        <v>0</v>
      </c>
      <c r="E5" s="13">
        <f>SUMIFS(Conferencias!$AB:$AB,Conferencias!N:N,1,Conferencias!$H:$H,1)</f>
        <v>0</v>
      </c>
      <c r="F5" s="13">
        <f>SUMIFS(Conferencias!$AB:$AB,Conferencias!O:O,1,Conferencias!$H:$H,1)</f>
        <v>3.625</v>
      </c>
      <c r="G5" s="13">
        <f>SUMIFS(Conferencias!$AB:$AB,Conferencias!P:P,1,Conferencias!$H:$H,1)</f>
        <v>6.375</v>
      </c>
      <c r="H5" s="13">
        <f>SUMIFS(Conferencias!$AB:$AB,Conferencias!Q:Q,1,Conferencias!$H:$H,1)</f>
        <v>0</v>
      </c>
      <c r="I5" s="13">
        <f>SUMIFS(Conferencias!$AB:$AB,Conferencias!R:R,1,Conferencias!$H:$H,1)</f>
        <v>0</v>
      </c>
      <c r="J5" s="13">
        <f>SUMIFS(Conferencias!$AB:$AB,Conferencias!S:S,1,Conferencias!$H:$H,1)</f>
        <v>3.125</v>
      </c>
      <c r="K5" s="13">
        <f>SUMIFS(Conferencias!$AB:$AB,Conferencias!T:T,1,Conferencias!$H:$H,1)</f>
        <v>0.625</v>
      </c>
      <c r="L5" s="13">
        <f>SUMIFS(Conferencias!$AB:$AB,Conferencias!U:U,1,Conferencias!$H:$H,1)</f>
        <v>2.75</v>
      </c>
      <c r="M5" s="13">
        <f>SUMIFS(Conferencias!$AB:$AB,Conferencias!V:V,1,Conferencias!$H:$H,1)</f>
        <v>0.875</v>
      </c>
      <c r="N5" s="13">
        <f>SUMIFS(Conferencias!$AB:$AB,Conferencias!W:W,1,Conferencias!$H:$H,1)</f>
        <v>0.625</v>
      </c>
      <c r="O5" s="13">
        <f>SUMIFS(Conferencias!$AB:$AB,Conferencias!X:X,1,Conferencias!$H:$H,1)</f>
        <v>0</v>
      </c>
      <c r="P5" s="13">
        <f>SUMIFS(Conferencias!$AB:$AB,Conferencias!Y:Y,1,Conferencias!$H:$H,1)</f>
        <v>3.875</v>
      </c>
      <c r="Q5" s="13">
        <f>SUMIFS(Conferencias!$AB:$AB,Conferencias!Z:Z,1,Conferencias!$H:$H,1)</f>
        <v>2.75</v>
      </c>
      <c r="R5" s="27">
        <f>SUMIFS(Conferencias!$AB:$AB,Conferencias!$H:$H,1)/SUM(B$2:Q$2)</f>
        <v>0.625</v>
      </c>
      <c r="S5" s="27">
        <f t="shared" ref="S5:S7" si="0">R5*4</f>
        <v>2.5</v>
      </c>
      <c r="U5" s="27">
        <v>2.76</v>
      </c>
      <c r="V5" s="102">
        <f>S5/U5</f>
        <v>0.90579710144927539</v>
      </c>
    </row>
    <row r="6" spans="1:22" x14ac:dyDescent="0.25">
      <c r="A6" s="10" t="s">
        <v>23</v>
      </c>
      <c r="B6" s="14">
        <f>SUMIFS(Conferencias!$AB:$AB,Conferencias!K:K,1,Conferencias!$I:$I,1)</f>
        <v>0.1</v>
      </c>
      <c r="C6" s="14">
        <f>SUMIFS(Conferencias!$AB:$AB,Conferencias!L:L,1,Conferencias!$I:$I,1)</f>
        <v>1.35</v>
      </c>
      <c r="D6" s="14">
        <f>SUMIFS(Conferencias!$AB:$AB,Conferencias!M:M,1,Conferencias!$I:$I,1)</f>
        <v>0.2</v>
      </c>
      <c r="E6" s="14">
        <f>SUMIFS(Conferencias!$AB:$AB,Conferencias!N:N,1,Conferencias!$I:$I,1)</f>
        <v>0</v>
      </c>
      <c r="F6" s="14">
        <f>SUMIFS(Conferencias!$AB:$AB,Conferencias!O:O,1,Conferencias!$I:$I,1)</f>
        <v>4.125</v>
      </c>
      <c r="G6" s="14">
        <f>SUMIFS(Conferencias!$AB:$AB,Conferencias!P:P,1,Conferencias!$I:$I,1)</f>
        <v>5.0999999999999996</v>
      </c>
      <c r="H6" s="14">
        <f>SUMIFS(Conferencias!$AB:$AB,Conferencias!Q:Q,1,Conferencias!$I:$I,1)</f>
        <v>0.25</v>
      </c>
      <c r="I6" s="14">
        <f>SUMIFS(Conferencias!$AB:$AB,Conferencias!R:R,1)</f>
        <v>0.05</v>
      </c>
      <c r="J6" s="14">
        <f>SUMIFS(Conferencias!$AB:$AB,Conferencias!S:S,1,Conferencias!$I:$I,1)</f>
        <v>3.1</v>
      </c>
      <c r="K6" s="14">
        <f>SUMIFS(Conferencias!$AB:$AB,Conferencias!T:T,1,Conferencias!$I:$I,1)</f>
        <v>0.625</v>
      </c>
      <c r="L6" s="14">
        <f>SUMIFS(Conferencias!$AB:$AB,Conferencias!U:U,1,Conferencias!$I:$I,1)</f>
        <v>2.8</v>
      </c>
      <c r="M6" s="14">
        <f>SUMIFS(Conferencias!$AB:$AB,Conferencias!V:V,1,Conferencias!$I:$I,1)</f>
        <v>0.92500000000000004</v>
      </c>
      <c r="N6" s="14">
        <f>SUMIFS(Conferencias!$AB:$AB,Conferencias!W:W,1,Conferencias!$I:$I,1)</f>
        <v>1.7749999999999999</v>
      </c>
      <c r="O6" s="14">
        <f>SUMIFS(Conferencias!$AB:$AB,Conferencias!X:X,1,Conferencias!$I:$I,1)</f>
        <v>0.2</v>
      </c>
      <c r="P6" s="14">
        <f>SUMIFS(Conferencias!$AB:$AB,Conferencias!Y:Y,1,Conferencias!$I:$I,1)</f>
        <v>4.1749999999999998</v>
      </c>
      <c r="Q6" s="14">
        <f>SUMIFS(Conferencias!$AB:$AB,Conferencias!Z:Z,1,Conferencias!$I:$I,1)</f>
        <v>2.8</v>
      </c>
      <c r="R6" s="26">
        <f>SUMIFS(Conferencias!$AB:$AB,Conferencias!$I:$I,1)/SUM(B$2:Q$2)</f>
        <v>0.63846153846153852</v>
      </c>
      <c r="S6" s="26">
        <f t="shared" si="0"/>
        <v>2.5538461538461541</v>
      </c>
      <c r="U6" s="26">
        <v>2.0699999999999998</v>
      </c>
      <c r="V6" s="102">
        <f>S6/U6</f>
        <v>1.2337421033073208</v>
      </c>
    </row>
    <row r="7" spans="1:22" x14ac:dyDescent="0.25">
      <c r="A7" s="24" t="s">
        <v>24</v>
      </c>
      <c r="B7" s="25">
        <f>SUMIFS(Conferencias!$AB:$AB,Conferencias!K:K,1,Conferencias!$H:$H,1,Conferencias!$I:$I,1)</f>
        <v>0</v>
      </c>
      <c r="C7" s="25">
        <f>SUMIFS(Conferencias!$AB:$AB,Conferencias!L:L,1,Conferencias!$H:$H,1,Conferencias!$I:$I,1)</f>
        <v>1.25</v>
      </c>
      <c r="D7" s="25">
        <f>SUMIFS(Conferencias!$AB:$AB,Conferencias!M:M,1,Conferencias!$H:$H,1,Conferencias!$I:$I,1)</f>
        <v>0</v>
      </c>
      <c r="E7" s="25">
        <f>SUMIFS(Conferencias!$AB:$AB,Conferencias!N:N,1,Conferencias!$H:$H,1,Conferencias!$I:$I,1)</f>
        <v>0</v>
      </c>
      <c r="F7" s="25">
        <f>SUMIFS(Conferencias!$AB:$AB,Conferencias!O:O,1,Conferencias!$H:$H,1,Conferencias!$I:$I,1)</f>
        <v>3.625</v>
      </c>
      <c r="G7" s="25">
        <f>SUMIFS(Conferencias!$AB:$AB,Conferencias!P:P,1,Conferencias!$H:$H,1,Conferencias!$I:$I,1)</f>
        <v>5</v>
      </c>
      <c r="H7" s="25">
        <f>SUMIFS(Conferencias!$AB:$AB,Conferencias!Q:Q,1,Conferencias!$H:$H,1,Conferencias!$I:$I,1)</f>
        <v>0</v>
      </c>
      <c r="I7" s="25">
        <f>SUMIFS(Conferencias!$AB:$AB,Conferencias!R:R,1,Conferencias!$H:$H,1,Conferencias!$I:$I,1)</f>
        <v>0</v>
      </c>
      <c r="J7" s="25">
        <f>SUMIFS(Conferencias!$AB:$AB,Conferencias!S:S,1,Conferencias!$H:$H,1,Conferencias!$I:$I,1)</f>
        <v>2.5</v>
      </c>
      <c r="K7" s="25">
        <f>SUMIFS(Conferencias!$AB:$AB,Conferencias!T:T,1,Conferencias!$H:$H,1,Conferencias!$I:$I,1)</f>
        <v>0.625</v>
      </c>
      <c r="L7" s="25">
        <f>SUMIFS(Conferencias!$AB:$AB,Conferencias!U:U,1,Conferencias!$H:$H,1,Conferencias!$I:$I,1)</f>
        <v>2.75</v>
      </c>
      <c r="M7" s="25">
        <f>SUMIFS(Conferencias!$AB:$AB,Conferencias!V:V,1,Conferencias!$H:$H,1,Conferencias!$I:$I,1)</f>
        <v>0.875</v>
      </c>
      <c r="N7" s="25">
        <f>SUMIFS(Conferencias!$AB:$AB,Conferencias!W:W,1,Conferencias!$H:$H,1,Conferencias!$I:$I,1)</f>
        <v>0.625</v>
      </c>
      <c r="O7" s="25">
        <f>SUMIFS(Conferencias!$AB:$AB,Conferencias!X:X,1,Conferencias!$H:$H,1,Conferencias!$I:$I,1)</f>
        <v>0</v>
      </c>
      <c r="P7" s="25">
        <f>SUMIFS(Conferencias!$AB:$AB,Conferencias!Y:Y,1,Conferencias!$H:$H,1,Conferencias!$I:$I,1)</f>
        <v>3.875</v>
      </c>
      <c r="Q7" s="25">
        <f>SUMIFS(Conferencias!$AB:$AB,Conferencias!Z:Z,1,Conferencias!$H:$H,1,Conferencias!$I:$I,1)</f>
        <v>2.75</v>
      </c>
      <c r="R7" s="28">
        <f>SUMIFS(Conferencias!$AB:$AB,Conferencias!$H:$H,1,Conferencias!$I:$I,1)/SUM(B$2:Q$2)</f>
        <v>0.54807692307692313</v>
      </c>
      <c r="S7" s="28">
        <f t="shared" si="0"/>
        <v>2.1923076923076925</v>
      </c>
      <c r="U7" s="28">
        <v>1.48</v>
      </c>
      <c r="V7" s="102">
        <f>S7/U7</f>
        <v>1.4812889812889813</v>
      </c>
    </row>
    <row r="8" spans="1:22" x14ac:dyDescent="0.25">
      <c r="A8" s="4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3"/>
      <c r="S8" s="3"/>
    </row>
    <row r="9" spans="1:22" x14ac:dyDescent="0.25">
      <c r="A9" s="33" t="s">
        <v>25</v>
      </c>
    </row>
    <row r="10" spans="1:22" x14ac:dyDescent="0.25">
      <c r="A10" s="10" t="s">
        <v>21</v>
      </c>
      <c r="B10" s="14">
        <f>SUMIFS(Periodicos!$AB:$AB,Periodicos!K:K,1)</f>
        <v>13.2</v>
      </c>
      <c r="C10" s="14">
        <f>SUMIFS(Periodicos!$AB:$AB,Periodicos!L:L,1)</f>
        <v>2</v>
      </c>
      <c r="D10" s="14">
        <f>SUMIFS(Periodicos!$AB:$AB,Periodicos!M:M,1)</f>
        <v>0</v>
      </c>
      <c r="E10" s="14">
        <f>SUMIFS(Periodicos!$AB:$AB,Periodicos!N:N,1)</f>
        <v>0.875</v>
      </c>
      <c r="F10" s="14">
        <f>SUMIFS(Periodicos!$AB:$AB,Periodicos!O:O,1)</f>
        <v>3.125</v>
      </c>
      <c r="G10" s="14">
        <f>SUMIFS(Periodicos!$AB:$AB,Periodicos!P:P,1)</f>
        <v>8.5</v>
      </c>
      <c r="H10" s="14">
        <f>SUMIFS(Periodicos!$AB:$AB,Periodicos!Q:Q,1)</f>
        <v>1.1499999999999999</v>
      </c>
      <c r="I10" s="14">
        <f>SUMIFS(Periodicos!$AB:$AB,Periodicos!R:R,1)</f>
        <v>3.375</v>
      </c>
      <c r="J10" s="14">
        <f>SUMIFS(Periodicos!$AB:$AB,Periodicos!S:S,1)</f>
        <v>2.375</v>
      </c>
      <c r="K10" s="14">
        <f>SUMIFS(Periodicos!$AB:$AB,Periodicos!T:T,1)</f>
        <v>2.0249999999999999</v>
      </c>
      <c r="L10" s="14">
        <f>SUMIFS(Periodicos!$AB:$AB,Periodicos!U:U,1)</f>
        <v>1.875</v>
      </c>
      <c r="M10" s="14">
        <f>SUMIFS(Periodicos!$AB:$AB,Periodicos!V:V,1)</f>
        <v>3.875</v>
      </c>
      <c r="N10" s="14">
        <f>SUMIFS(Periodicos!$AB:$AB,Periodicos!W:W,1)</f>
        <v>0</v>
      </c>
      <c r="O10" s="14">
        <f>SUMIFS(Periodicos!$AB:$AB,Periodicos!X:X,1)</f>
        <v>1.25</v>
      </c>
      <c r="P10" s="14">
        <f>SUMIFS(Periodicos!$AB:$AB,Periodicos!Y:Y,1)</f>
        <v>3</v>
      </c>
      <c r="Q10" s="14">
        <f>SUMIFS(Periodicos!$AB:$AB,Periodicos!Z:Z,1)</f>
        <v>2.375</v>
      </c>
      <c r="R10" s="26">
        <f>SUM(Periodicos!$AB:$AB)/SUM(B$2:Q$2)</f>
        <v>1.1269230769230769</v>
      </c>
      <c r="S10" s="26">
        <f t="shared" ref="S10:S15" si="1">R10*4</f>
        <v>4.5076923076923077</v>
      </c>
      <c r="U10" s="26">
        <v>4.4400000000000004</v>
      </c>
      <c r="V10" s="102">
        <f t="shared" ref="V10:V15" si="2">S10/U10</f>
        <v>1.0152460152460152</v>
      </c>
    </row>
    <row r="11" spans="1:22" x14ac:dyDescent="0.25">
      <c r="A11" s="4" t="s">
        <v>22</v>
      </c>
      <c r="B11" s="13">
        <f>SUMIFS(Periodicos!$AB:$AB,Periodicos!K:K,1,Periodicos!$H:$H,1)</f>
        <v>13</v>
      </c>
      <c r="C11" s="13">
        <f>SUMIFS(Periodicos!$AB:$AB,Periodicos!L:L,1,Periodicos!$H:$H,1)</f>
        <v>1</v>
      </c>
      <c r="D11" s="13">
        <f>SUMIFS(Periodicos!$AB:$AB,Periodicos!M:M,1,Periodicos!$H:$H,1)</f>
        <v>0</v>
      </c>
      <c r="E11" s="13">
        <f>SUMIFS(Periodicos!$AB:$AB,Periodicos!N:N,1,Periodicos!$H:$H,1)</f>
        <v>0.875</v>
      </c>
      <c r="F11" s="13">
        <f>SUMIFS(Periodicos!$AB:$AB,Periodicos!O:O,1,Periodicos!$H:$H,1)</f>
        <v>3.125</v>
      </c>
      <c r="G11" s="13">
        <f>SUMIFS(Periodicos!$AB:$AB,Periodicos!P:P,1,Periodicos!$H:$H,1)</f>
        <v>7</v>
      </c>
      <c r="H11" s="13">
        <f>SUMIFS(Periodicos!$AB:$AB,Periodicos!Q:Q,1,Periodicos!$H:$H,1)</f>
        <v>0.75</v>
      </c>
      <c r="I11" s="13">
        <f>SUMIFS(Periodicos!$AB:$AB,Periodicos!R:R,1,Periodicos!$H:$H,1)</f>
        <v>2.375</v>
      </c>
      <c r="J11" s="13">
        <f>SUMIFS(Periodicos!$AB:$AB,Periodicos!S:S,1,Periodicos!$H:$H,1)</f>
        <v>1.875</v>
      </c>
      <c r="K11" s="13">
        <f>SUMIFS(Periodicos!$AB:$AB,Periodicos!T:T,1,Periodicos!$H:$H,1)</f>
        <v>1.625</v>
      </c>
      <c r="L11" s="13">
        <f>SUMIFS(Periodicos!$AB:$AB,Periodicos!U:U,1,Periodicos!$H:$H,1)</f>
        <v>0.875</v>
      </c>
      <c r="M11" s="13">
        <f>SUMIFS(Periodicos!$AB:$AB,Periodicos!V:V,1,Periodicos!$H:$H,1)</f>
        <v>3.375</v>
      </c>
      <c r="N11" s="13">
        <f>SUMIFS(Periodicos!$AB:$AB,Periodicos!W:W,1,Periodicos!$H:$H,1)</f>
        <v>0</v>
      </c>
      <c r="O11" s="13">
        <f>SUMIFS(Periodicos!$AB:$AB,Periodicos!X:X,1,Periodicos!$H:$H,1)</f>
        <v>0.75</v>
      </c>
      <c r="P11" s="13">
        <f>SUMIFS(Periodicos!$AB:$AB,Periodicos!Y:Y,1,Periodicos!$H:$H,1)</f>
        <v>2</v>
      </c>
      <c r="Q11" s="13">
        <f>SUMIFS(Periodicos!$AB:$AB,Periodicos!Z:Z,1,Periodicos!$H:$H,1)</f>
        <v>0.875</v>
      </c>
      <c r="R11" s="27">
        <f>SUMIFS(Periodicos!$AB:$AB,Periodicos!$H:$H,1)/SUM(B$2:Q$2)</f>
        <v>0.94230769230769229</v>
      </c>
      <c r="S11" s="27">
        <f t="shared" si="1"/>
        <v>3.7692307692307692</v>
      </c>
      <c r="U11" s="27">
        <v>4.26</v>
      </c>
      <c r="V11" s="102">
        <f t="shared" si="2"/>
        <v>0.88479595521849042</v>
      </c>
    </row>
    <row r="12" spans="1:22" x14ac:dyDescent="0.25">
      <c r="A12" s="10" t="s">
        <v>26</v>
      </c>
      <c r="B12" s="14">
        <f>SUMIFS(Periodicos!$AB:$AB,Periodicos!K:K,1,Periodicos!$G:$G,1)</f>
        <v>9.625</v>
      </c>
      <c r="C12" s="14">
        <f>SUMIFS(Periodicos!$AB:$AB,Periodicos!L:L,1,Periodicos!$G:$G,1)</f>
        <v>0.5</v>
      </c>
      <c r="D12" s="14">
        <f>SUMIFS(Periodicos!$AB:$AB,Periodicos!M:M,1,Periodicos!$G:$G,1)</f>
        <v>0</v>
      </c>
      <c r="E12" s="14">
        <f>SUMIFS(Periodicos!$AB:$AB,Periodicos!N:N,1,Periodicos!$G:$G,1)</f>
        <v>0.875</v>
      </c>
      <c r="F12" s="14">
        <f>SUMIFS(Periodicos!$AB:$AB,Periodicos!O:O,1,Periodicos!$G:$G,1)</f>
        <v>3.125</v>
      </c>
      <c r="G12" s="14">
        <f>SUMIFS(Periodicos!$AB:$AB,Periodicos!P:P,1,Periodicos!$G:$G,1)</f>
        <v>6</v>
      </c>
      <c r="H12" s="14">
        <f>SUMIFS(Periodicos!$AB:$AB,Periodicos!Q:Q,1,Periodicos!$G:$G,1)</f>
        <v>0.75</v>
      </c>
      <c r="I12" s="14">
        <f>SUMIFS(Periodicos!$AB:$AB,Periodicos!R:R,1,Periodicos!$G:$G,1)</f>
        <v>2.875</v>
      </c>
      <c r="J12" s="14">
        <f>SUMIFS(Periodicos!$AB:$AB,Periodicos!S:S,1,Periodicos!$G:$G,1)</f>
        <v>0.875</v>
      </c>
      <c r="K12" s="14">
        <f>SUMIFS(Periodicos!$AB:$AB,Periodicos!T:T,1,Periodicos!$G:$G,1)</f>
        <v>1</v>
      </c>
      <c r="L12" s="14">
        <f>SUMIFS(Periodicos!$AB:$AB,Periodicos!U:U,1,Periodicos!$G:$G,1)</f>
        <v>1.375</v>
      </c>
      <c r="M12" s="14">
        <f>SUMIFS(Periodicos!$AB:$AB,Periodicos!V:V,1,Periodicos!$G:$G,1)</f>
        <v>2.875</v>
      </c>
      <c r="N12" s="14">
        <f>SUMIFS(Periodicos!$AB:$AB,Periodicos!W:W,1,Periodicos!$G:$G,1)</f>
        <v>0</v>
      </c>
      <c r="O12" s="14">
        <f>SUMIFS(Periodicos!$AB:$AB,Periodicos!X:X,1,Periodicos!$G:$G,1)</f>
        <v>1.25</v>
      </c>
      <c r="P12" s="14">
        <f>SUMIFS(Periodicos!$AB:$AB,Periodicos!Y:Y,1,Periodicos!$G:$G,1)</f>
        <v>3</v>
      </c>
      <c r="Q12" s="14">
        <f>SUMIFS(Periodicos!$AB:$AB,Periodicos!Z:Z,1,Periodicos!$G:$G,1)</f>
        <v>2.375</v>
      </c>
      <c r="R12" s="26">
        <f>SUMIFS(Periodicos!$AB:$AB,Periodicos!$G:$G,1)/SUM(B$2:Q$2)</f>
        <v>0.76923076923076927</v>
      </c>
      <c r="S12" s="26">
        <f t="shared" si="1"/>
        <v>3.0769230769230771</v>
      </c>
      <c r="U12" s="26">
        <v>3.6</v>
      </c>
      <c r="V12" s="102">
        <f t="shared" si="2"/>
        <v>0.85470085470085477</v>
      </c>
    </row>
    <row r="13" spans="1:22" x14ac:dyDescent="0.25">
      <c r="A13" s="4" t="s">
        <v>27</v>
      </c>
      <c r="B13" s="13">
        <f>SUMIFS(Periodicos!$AB:$AB,Periodicos!K:K,1,Periodicos!$H:$H,1,Periodicos!$G:$G,1)</f>
        <v>9.625</v>
      </c>
      <c r="C13" s="13">
        <f>SUMIFS(Periodicos!$AB:$AB,Periodicos!L:L,1,Periodicos!$H:$H,1,Periodicos!$G:$G,1)</f>
        <v>0</v>
      </c>
      <c r="D13" s="13">
        <f>SUMIFS(Periodicos!$AB:$AB,Periodicos!M:M,1,Periodicos!$H:$H,1,Periodicos!$G:$G,1)</f>
        <v>0</v>
      </c>
      <c r="E13" s="13">
        <f>SUMIFS(Periodicos!$AB:$AB,Periodicos!N:N,1,Periodicos!$H:$H,1,Periodicos!$G:$G,1)</f>
        <v>0.875</v>
      </c>
      <c r="F13" s="13">
        <f>SUMIFS(Periodicos!$AB:$AB,Periodicos!O:O,1,Periodicos!$H:$H,1,Periodicos!$G:$G,1)</f>
        <v>3.125</v>
      </c>
      <c r="G13" s="13">
        <f>SUMIFS(Periodicos!$AB:$AB,Periodicos!P:P,1,Periodicos!$H:$H,1,Periodicos!$G:$G,1)</f>
        <v>5</v>
      </c>
      <c r="H13" s="13">
        <f>SUMIFS(Periodicos!$AB:$AB,Periodicos!Q:Q,1,Periodicos!$H:$H,1,Periodicos!$G:$G,1)</f>
        <v>0.75</v>
      </c>
      <c r="I13" s="13">
        <f>SUMIFS(Periodicos!$AB:$AB,Periodicos!R:R,1,Periodicos!$H:$H,1,Periodicos!$G:$G,1)</f>
        <v>2.375</v>
      </c>
      <c r="J13" s="13">
        <f>SUMIFS(Periodicos!$AB:$AB,Periodicos!S:S,1,Periodicos!$H:$H,1,Periodicos!$G:$G,1)</f>
        <v>0.875</v>
      </c>
      <c r="K13" s="13">
        <f>SUMIFS(Periodicos!$AB:$AB,Periodicos!T:T,1,Periodicos!$H:$H,1,Periodicos!$G:$G,1)</f>
        <v>1</v>
      </c>
      <c r="L13" s="13">
        <f>SUMIFS(Periodicos!$AB:$AB,Periodicos!U:U,1,Periodicos!$H:$H,1,Periodicos!$G:$G,1)</f>
        <v>0.875</v>
      </c>
      <c r="M13" s="13">
        <f>SUMIFS(Periodicos!$AB:$AB,Periodicos!V:V,1,Periodicos!$H:$H,1,Periodicos!$G:$G,1)</f>
        <v>2.375</v>
      </c>
      <c r="N13" s="13">
        <f>SUMIFS(Periodicos!$AB:$AB,Periodicos!W:W,1,Periodicos!$H:$H,1,Periodicos!$G:$G,1)</f>
        <v>0</v>
      </c>
      <c r="O13" s="13">
        <f>SUMIFS(Periodicos!$AB:$AB,Periodicos!X:X,1,Periodicos!$H:$H,1,Periodicos!$G:$G,1)</f>
        <v>0.75</v>
      </c>
      <c r="P13" s="13">
        <f>SUMIFS(Periodicos!$AB:$AB,Periodicos!Y:Y,1,Periodicos!$H:$H,1,Periodicos!$G:$G,1)</f>
        <v>2</v>
      </c>
      <c r="Q13" s="13">
        <f>SUMIFS(Periodicos!$AB:$AB,Periodicos!Z:Z,1,Periodicos!$H:$H,1,Periodicos!$G:$G,1)</f>
        <v>0.875</v>
      </c>
      <c r="R13" s="27">
        <f>SUMIFS(Periodicos!$AB:$AB,Periodicos!$H:$H,1,Periodicos!$G:$G,1)/SUM(B$2:Q$2)</f>
        <v>0.67307692307692313</v>
      </c>
      <c r="S13" s="27">
        <f t="shared" si="1"/>
        <v>2.6923076923076925</v>
      </c>
      <c r="U13" s="27">
        <v>3.52</v>
      </c>
      <c r="V13" s="102">
        <f t="shared" si="2"/>
        <v>0.7648601398601399</v>
      </c>
    </row>
    <row r="14" spans="1:22" x14ac:dyDescent="0.25">
      <c r="A14" s="10" t="s">
        <v>23</v>
      </c>
      <c r="B14" s="14">
        <f>SUMIFS(Periodicos!$AB:$AB,Periodicos!K:K,1,Periodicos!$I:$I,1)</f>
        <v>2.7</v>
      </c>
      <c r="C14" s="14">
        <f>SUMIFS(Periodicos!$AB:$AB,Periodicos!L:L,1,Periodicos!$I:$I,1)</f>
        <v>1.5</v>
      </c>
      <c r="D14" s="14">
        <f>SUMIFS(Periodicos!$AB:$AB,Periodicos!M:M,1,Periodicos!$I:$I,1)</f>
        <v>0</v>
      </c>
      <c r="E14" s="14">
        <f>SUMIFS(Periodicos!$AB:$AB,Periodicos!N:N,1,Periodicos!$I:$I,1)</f>
        <v>0</v>
      </c>
      <c r="F14" s="14">
        <f>SUMIFS(Periodicos!$AB:$AB,Periodicos!O:O,1,Periodicos!$I:$I,1)</f>
        <v>0.625</v>
      </c>
      <c r="G14" s="14">
        <f>SUMIFS(Periodicos!$AB:$AB,Periodicos!P:P,1,Periodicos!$I:$I,1)</f>
        <v>4</v>
      </c>
      <c r="H14" s="14">
        <f>SUMIFS(Periodicos!$AB:$AB,Periodicos!Q:Q,1,Periodicos!$I:$I,1)</f>
        <v>0.95</v>
      </c>
      <c r="I14" s="14">
        <f>SUMIFS(Periodicos!$AB:$AB,Periodicos!R:R,1,Periodicos!$I:$I,1)</f>
        <v>1.875</v>
      </c>
      <c r="J14" s="14">
        <f>SUMIFS(Periodicos!$AB:$AB,Periodicos!S:S,1,Periodicos!$I:$I,1)</f>
        <v>2.375</v>
      </c>
      <c r="K14" s="14">
        <f>SUMIFS(Periodicos!$AB:$AB,Periodicos!T:T,1,Periodicos!$I:$I,1)</f>
        <v>1.0249999999999999</v>
      </c>
      <c r="L14" s="14">
        <f>SUMIFS(Periodicos!$AB:$AB,Periodicos!U:U,1,Periodicos!$I:$I,1)</f>
        <v>1.875</v>
      </c>
      <c r="M14" s="14">
        <f>SUMIFS(Periodicos!$AB:$AB,Periodicos!V:V,1,Periodicos!$I:$I,1)</f>
        <v>2.375</v>
      </c>
      <c r="N14" s="14">
        <f>SUMIFS(Periodicos!$AB:$AB,Periodicos!W:W,1,Periodicos!$I:$I,1)</f>
        <v>0</v>
      </c>
      <c r="O14" s="14">
        <f>SUMIFS(Periodicos!$AB:$AB,Periodicos!X:X,1,Periodicos!$I:$I,1)</f>
        <v>1.25</v>
      </c>
      <c r="P14" s="14">
        <f>SUMIFS(Periodicos!$AB:$AB,Periodicos!Y:Y,1,Periodicos!$I:$I,1)</f>
        <v>1.5</v>
      </c>
      <c r="Q14" s="14">
        <f>SUMIFS(Periodicos!$AB:$AB,Periodicos!Z:Z,1,Periodicos!$I:$I,1)</f>
        <v>2.375</v>
      </c>
      <c r="R14" s="26">
        <f>SUMIFS(Periodicos!$AB:$AB,Periodicos!$I:$I,1)/SUM(B$2:Q$2)</f>
        <v>0.46538461538461529</v>
      </c>
      <c r="S14" s="26">
        <f t="shared" si="1"/>
        <v>1.8615384615384611</v>
      </c>
      <c r="U14" s="26">
        <v>0.94</v>
      </c>
      <c r="V14" s="102">
        <f t="shared" si="2"/>
        <v>1.9803600654664482</v>
      </c>
    </row>
    <row r="15" spans="1:22" x14ac:dyDescent="0.25">
      <c r="A15" s="24" t="s">
        <v>24</v>
      </c>
      <c r="B15" s="25">
        <f>SUMIFS(Periodicos!$AB:$AB,Periodicos!K:K,1,Periodicos!$I:$I,1,Periodicos!$H:$H,1)</f>
        <v>2.5</v>
      </c>
      <c r="C15" s="25">
        <f>SUMIFS(Periodicos!$AB:$AB,Periodicos!L:L,1,Periodicos!$I:$I,1,Periodicos!$H:$H,1)</f>
        <v>1</v>
      </c>
      <c r="D15" s="25">
        <f>SUMIFS(Periodicos!$AB:$AB,Periodicos!M:M,1,Periodicos!$I:$I,1,Periodicos!$H:$H,1)</f>
        <v>0</v>
      </c>
      <c r="E15" s="25">
        <f>SUMIFS(Periodicos!$AB:$AB,Periodicos!N:N,1,Periodicos!$I:$I,1,Periodicos!$H:$H,1)</f>
        <v>0</v>
      </c>
      <c r="F15" s="25">
        <f>SUMIFS(Periodicos!$AB:$AB,Periodicos!O:O,1,Periodicos!$I:$I,1,Periodicos!$H:$H,1)</f>
        <v>0.625</v>
      </c>
      <c r="G15" s="25">
        <f>SUMIFS(Periodicos!$AB:$AB,Periodicos!P:P,1,Periodicos!$I:$I,1,Periodicos!$H:$H,1)</f>
        <v>2.5</v>
      </c>
      <c r="H15" s="25">
        <f>SUMIFS(Periodicos!$AB:$AB,Periodicos!Q:Q,1,Periodicos!$I:$I,1,Periodicos!$H:$H,1)</f>
        <v>0.75</v>
      </c>
      <c r="I15" s="25">
        <f>SUMIFS(Periodicos!$AB:$AB,Periodicos!R:R,1,Periodicos!$I:$I,1,Periodicos!$H:$H,1)</f>
        <v>0.875</v>
      </c>
      <c r="J15" s="25">
        <f>SUMIFS(Periodicos!$AB:$AB,Periodicos!S:S,1,Periodicos!$I:$I,1,Periodicos!$H:$H,1)</f>
        <v>1.875</v>
      </c>
      <c r="K15" s="25">
        <f>SUMIFS(Periodicos!$AB:$AB,Periodicos!T:T,1,Periodicos!$I:$I,1,Periodicos!$H:$H,1)</f>
        <v>0.625</v>
      </c>
      <c r="L15" s="25">
        <f>SUMIFS(Periodicos!$AB:$AB,Periodicos!U:U,1,Periodicos!$I:$I,1,Periodicos!$H:$H,1)</f>
        <v>0.875</v>
      </c>
      <c r="M15" s="25">
        <f>SUMIFS(Periodicos!$AB:$AB,Periodicos!V:V,1,Periodicos!$I:$I,1,Periodicos!$H:$H,1)</f>
        <v>1.875</v>
      </c>
      <c r="N15" s="25">
        <f>SUMIFS(Periodicos!$AB:$AB,Periodicos!W:W,1,Periodicos!$I:$I,1,Periodicos!$H:$H,1)</f>
        <v>0</v>
      </c>
      <c r="O15" s="25">
        <f>SUMIFS(Periodicos!$AB:$AB,Periodicos!X:X,1,Periodicos!$I:$I,1,Periodicos!$H:$H,1)</f>
        <v>0.75</v>
      </c>
      <c r="P15" s="25">
        <f>SUMIFS(Periodicos!$AB:$AB,Periodicos!Y:Y,1,Periodicos!$I:$I,1,Periodicos!$H:$H,1)</f>
        <v>1</v>
      </c>
      <c r="Q15" s="25">
        <f>SUMIFS(Periodicos!$AB:$AB,Periodicos!Z:Z,1,Periodicos!$I:$I,1,Periodicos!$H:$H,1)</f>
        <v>0.875</v>
      </c>
      <c r="R15" s="28">
        <f>SUMIFS(Periodicos!$AB:$AB,Periodicos!$I:$I,1,Periodicos!$H:$H,1)/SUM(B$2:Q$2)</f>
        <v>0.32692307692307693</v>
      </c>
      <c r="S15" s="28">
        <f t="shared" si="1"/>
        <v>1.3076923076923077</v>
      </c>
      <c r="U15" s="28">
        <v>0.86</v>
      </c>
      <c r="V15" s="102">
        <f t="shared" si="2"/>
        <v>1.5205724508050089</v>
      </c>
    </row>
    <row r="16" spans="1:22" x14ac:dyDescent="0.25">
      <c r="A16" s="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3"/>
      <c r="S16" s="3"/>
    </row>
    <row r="17" spans="1:24" x14ac:dyDescent="0.25">
      <c r="A17" s="19" t="s">
        <v>28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3"/>
      <c r="S17" s="3"/>
    </row>
    <row r="18" spans="1:24" ht="16.5" customHeight="1" x14ac:dyDescent="0.25">
      <c r="A18" s="10" t="s">
        <v>21</v>
      </c>
      <c r="B18" s="14">
        <f>SUM(B4,B10)</f>
        <v>13.299999999999999</v>
      </c>
      <c r="C18" s="14">
        <f t="shared" ref="C18:Q18" si="3">SUM(C4,C10)</f>
        <v>3.85</v>
      </c>
      <c r="D18" s="14">
        <f t="shared" ref="D18" si="4">SUM(D4,D10)</f>
        <v>0.2</v>
      </c>
      <c r="E18" s="14">
        <f t="shared" si="3"/>
        <v>0.875</v>
      </c>
      <c r="F18" s="14">
        <f t="shared" si="3"/>
        <v>7.25</v>
      </c>
      <c r="G18" s="14">
        <f t="shared" si="3"/>
        <v>14.975</v>
      </c>
      <c r="H18" s="14">
        <f t="shared" si="3"/>
        <v>1.5499999999999998</v>
      </c>
      <c r="I18" s="14">
        <f t="shared" si="3"/>
        <v>3.4249999999999998</v>
      </c>
      <c r="J18" s="14">
        <f t="shared" si="3"/>
        <v>6.15</v>
      </c>
      <c r="K18" s="14">
        <f t="shared" si="3"/>
        <v>2.65</v>
      </c>
      <c r="L18" s="14">
        <f t="shared" si="3"/>
        <v>4.6749999999999998</v>
      </c>
      <c r="M18" s="14">
        <f t="shared" si="3"/>
        <v>4.8</v>
      </c>
      <c r="N18" s="14">
        <f t="shared" si="3"/>
        <v>1.7749999999999999</v>
      </c>
      <c r="O18" s="14">
        <f t="shared" si="3"/>
        <v>1.45</v>
      </c>
      <c r="P18" s="14">
        <f t="shared" si="3"/>
        <v>7.1749999999999998</v>
      </c>
      <c r="Q18" s="14">
        <f t="shared" si="3"/>
        <v>5.1749999999999998</v>
      </c>
      <c r="R18" s="30">
        <f t="shared" ref="R18" si="5">SUM(R4,R10)</f>
        <v>1.8673076923076923</v>
      </c>
      <c r="S18" s="30">
        <f t="shared" ref="S18:S21" si="6">R18*4</f>
        <v>7.4692307692307693</v>
      </c>
      <c r="U18" s="26">
        <v>8.3000000000000007</v>
      </c>
      <c r="V18" s="102">
        <f>S18/U18</f>
        <v>0.8999073215940685</v>
      </c>
    </row>
    <row r="19" spans="1:24" x14ac:dyDescent="0.25">
      <c r="A19" s="4" t="s">
        <v>22</v>
      </c>
      <c r="B19" s="13">
        <f>SUM(B5,B11)</f>
        <v>13</v>
      </c>
      <c r="C19" s="13">
        <f t="shared" ref="C19:Q19" si="7">SUM(C5,C11)</f>
        <v>2.25</v>
      </c>
      <c r="D19" s="13">
        <f t="shared" ref="D19" si="8">SUM(D5,D11)</f>
        <v>0</v>
      </c>
      <c r="E19" s="13">
        <f t="shared" si="7"/>
        <v>0.875</v>
      </c>
      <c r="F19" s="13">
        <f t="shared" si="7"/>
        <v>6.75</v>
      </c>
      <c r="G19" s="13">
        <f t="shared" si="7"/>
        <v>13.375</v>
      </c>
      <c r="H19" s="13">
        <f t="shared" si="7"/>
        <v>0.75</v>
      </c>
      <c r="I19" s="13">
        <f t="shared" si="7"/>
        <v>2.375</v>
      </c>
      <c r="J19" s="13">
        <f t="shared" si="7"/>
        <v>5</v>
      </c>
      <c r="K19" s="13">
        <f t="shared" si="7"/>
        <v>2.25</v>
      </c>
      <c r="L19" s="13">
        <f t="shared" si="7"/>
        <v>3.625</v>
      </c>
      <c r="M19" s="13">
        <f t="shared" si="7"/>
        <v>4.25</v>
      </c>
      <c r="N19" s="13">
        <f t="shared" si="7"/>
        <v>0.625</v>
      </c>
      <c r="O19" s="13">
        <f t="shared" si="7"/>
        <v>0.75</v>
      </c>
      <c r="P19" s="13">
        <f t="shared" si="7"/>
        <v>5.875</v>
      </c>
      <c r="Q19" s="13">
        <f t="shared" si="7"/>
        <v>3.625</v>
      </c>
      <c r="R19" s="31">
        <f t="shared" ref="R19" si="9">SUM(R5,R11)</f>
        <v>1.5673076923076923</v>
      </c>
      <c r="S19" s="31">
        <f t="shared" si="6"/>
        <v>6.2692307692307692</v>
      </c>
      <c r="U19" s="27">
        <v>7.02</v>
      </c>
      <c r="V19" s="102">
        <f>S19/U19</f>
        <v>0.8930528161297393</v>
      </c>
    </row>
    <row r="20" spans="1:24" x14ac:dyDescent="0.25">
      <c r="A20" s="10" t="s">
        <v>29</v>
      </c>
      <c r="B20" s="14">
        <f t="shared" ref="B20:R20" si="10">SUM(B6,B14)</f>
        <v>2.8000000000000003</v>
      </c>
      <c r="C20" s="14">
        <f t="shared" si="10"/>
        <v>2.85</v>
      </c>
      <c r="D20" s="14">
        <f t="shared" ref="D20" si="11">SUM(D6,D14)</f>
        <v>0.2</v>
      </c>
      <c r="E20" s="14">
        <f t="shared" si="10"/>
        <v>0</v>
      </c>
      <c r="F20" s="14">
        <f t="shared" si="10"/>
        <v>4.75</v>
      </c>
      <c r="G20" s="14">
        <f t="shared" si="10"/>
        <v>9.1</v>
      </c>
      <c r="H20" s="14">
        <f t="shared" si="10"/>
        <v>1.2</v>
      </c>
      <c r="I20" s="14">
        <f t="shared" si="10"/>
        <v>1.925</v>
      </c>
      <c r="J20" s="14">
        <f t="shared" si="10"/>
        <v>5.4749999999999996</v>
      </c>
      <c r="K20" s="14">
        <f t="shared" si="10"/>
        <v>1.65</v>
      </c>
      <c r="L20" s="14">
        <f t="shared" si="10"/>
        <v>4.6749999999999998</v>
      </c>
      <c r="M20" s="14">
        <f t="shared" si="10"/>
        <v>3.3</v>
      </c>
      <c r="N20" s="14">
        <f t="shared" si="10"/>
        <v>1.7749999999999999</v>
      </c>
      <c r="O20" s="14">
        <f t="shared" si="10"/>
        <v>1.45</v>
      </c>
      <c r="P20" s="14">
        <f t="shared" si="10"/>
        <v>5.6749999999999998</v>
      </c>
      <c r="Q20" s="14">
        <f t="shared" si="10"/>
        <v>5.1749999999999998</v>
      </c>
      <c r="R20" s="30">
        <f t="shared" si="10"/>
        <v>1.1038461538461539</v>
      </c>
      <c r="S20" s="30">
        <f t="shared" si="6"/>
        <v>4.4153846153846157</v>
      </c>
      <c r="U20" s="26">
        <v>3.02</v>
      </c>
      <c r="V20" s="102">
        <f>S20/U20</f>
        <v>1.4620478858889456</v>
      </c>
    </row>
    <row r="21" spans="1:24" x14ac:dyDescent="0.25">
      <c r="A21" s="24" t="s">
        <v>30</v>
      </c>
      <c r="B21" s="25">
        <f t="shared" ref="B21:R21" si="12">SUM(B7,B15)</f>
        <v>2.5</v>
      </c>
      <c r="C21" s="25">
        <f t="shared" si="12"/>
        <v>2.25</v>
      </c>
      <c r="D21" s="25">
        <f t="shared" ref="D21" si="13">SUM(D7,D15)</f>
        <v>0</v>
      </c>
      <c r="E21" s="25">
        <f t="shared" si="12"/>
        <v>0</v>
      </c>
      <c r="F21" s="25">
        <f t="shared" si="12"/>
        <v>4.25</v>
      </c>
      <c r="G21" s="25">
        <f t="shared" si="12"/>
        <v>7.5</v>
      </c>
      <c r="H21" s="25">
        <f t="shared" si="12"/>
        <v>0.75</v>
      </c>
      <c r="I21" s="25">
        <f t="shared" si="12"/>
        <v>0.875</v>
      </c>
      <c r="J21" s="25">
        <f t="shared" si="12"/>
        <v>4.375</v>
      </c>
      <c r="K21" s="25">
        <f t="shared" si="12"/>
        <v>1.25</v>
      </c>
      <c r="L21" s="25">
        <f t="shared" si="12"/>
        <v>3.625</v>
      </c>
      <c r="M21" s="25">
        <f t="shared" si="12"/>
        <v>2.75</v>
      </c>
      <c r="N21" s="25">
        <f t="shared" si="12"/>
        <v>0.625</v>
      </c>
      <c r="O21" s="25">
        <f t="shared" si="12"/>
        <v>0.75</v>
      </c>
      <c r="P21" s="25">
        <f t="shared" si="12"/>
        <v>4.875</v>
      </c>
      <c r="Q21" s="25">
        <f t="shared" si="12"/>
        <v>3.625</v>
      </c>
      <c r="R21" s="32">
        <f t="shared" si="12"/>
        <v>0.875</v>
      </c>
      <c r="S21" s="32">
        <f t="shared" si="6"/>
        <v>3.5</v>
      </c>
      <c r="U21" s="28">
        <v>2.34</v>
      </c>
      <c r="V21" s="102">
        <f>S21/U21</f>
        <v>1.4957264957264957</v>
      </c>
    </row>
    <row r="22" spans="1:24" x14ac:dyDescent="0.25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3"/>
      <c r="S22" s="3"/>
    </row>
    <row r="23" spans="1:24" x14ac:dyDescent="0.25">
      <c r="A23" s="34" t="s">
        <v>31</v>
      </c>
      <c r="R23" s="3"/>
      <c r="S23" s="3"/>
    </row>
    <row r="24" spans="1:24" x14ac:dyDescent="0.25">
      <c r="A24" s="95" t="s">
        <v>32</v>
      </c>
      <c r="B24" s="98"/>
      <c r="C24" s="98"/>
      <c r="D24" s="98"/>
      <c r="E24" s="98"/>
      <c r="F24" s="98"/>
      <c r="G24" s="98"/>
      <c r="H24" s="98"/>
      <c r="I24" s="98"/>
      <c r="J24" s="98"/>
      <c r="K24" s="98">
        <v>1</v>
      </c>
      <c r="L24" s="98"/>
      <c r="M24" s="98"/>
      <c r="N24" s="98"/>
      <c r="O24" s="98"/>
      <c r="P24" s="98"/>
      <c r="Q24" s="98"/>
      <c r="R24" s="3"/>
      <c r="S24" s="3"/>
    </row>
    <row r="25" spans="1:24" x14ac:dyDescent="0.25">
      <c r="A25" s="97" t="s">
        <v>33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3"/>
      <c r="S25" s="3"/>
    </row>
    <row r="26" spans="1:24" x14ac:dyDescent="0.25">
      <c r="A26" s="96" t="s">
        <v>34</v>
      </c>
      <c r="B26" s="100">
        <f>SUM(Tecnica!H:H)</f>
        <v>0</v>
      </c>
      <c r="C26" s="100">
        <f>SUM(Tecnica!I:I)</f>
        <v>2</v>
      </c>
      <c r="D26" s="100">
        <f>SUM(Tecnica!J:J)</f>
        <v>0</v>
      </c>
      <c r="E26" s="100">
        <f>SUM(Tecnica!K:K)</f>
        <v>0</v>
      </c>
      <c r="F26" s="100">
        <f>SUM(Tecnica!L:L)</f>
        <v>1</v>
      </c>
      <c r="G26" s="100">
        <f>SUM(Tecnica!M:M)</f>
        <v>3</v>
      </c>
      <c r="H26" s="100">
        <f>SUM(Tecnica!N:N)</f>
        <v>0</v>
      </c>
      <c r="I26" s="100">
        <f>SUM(Tecnica!O:O)</f>
        <v>0</v>
      </c>
      <c r="J26" s="100">
        <f>SUM(Tecnica!P:P)</f>
        <v>0</v>
      </c>
      <c r="K26" s="100">
        <f>SUM(Tecnica!Q:Q)</f>
        <v>0</v>
      </c>
      <c r="L26" s="100">
        <f>SUM(Tecnica!R:R)</f>
        <v>2</v>
      </c>
      <c r="M26" s="100">
        <f>SUM(Tecnica!S:S)</f>
        <v>0</v>
      </c>
      <c r="N26" s="100">
        <f>SUM(Tecnica!T:T)</f>
        <v>0</v>
      </c>
      <c r="O26" s="100">
        <f>SUM(Tecnica!U:U)</f>
        <v>0</v>
      </c>
      <c r="P26" s="100">
        <f>SUM(Tecnica!V:V)</f>
        <v>0</v>
      </c>
      <c r="Q26" s="100">
        <f>SUM(Tecnica!W:W)</f>
        <v>4</v>
      </c>
      <c r="R26" s="3"/>
      <c r="S26" s="3"/>
    </row>
    <row r="27" spans="1:24" x14ac:dyDescent="0.25">
      <c r="A27" s="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3"/>
      <c r="S27" s="3"/>
    </row>
    <row r="28" spans="1:24" x14ac:dyDescent="0.25">
      <c r="A28" s="34" t="s">
        <v>35</v>
      </c>
    </row>
    <row r="29" spans="1:24" x14ac:dyDescent="0.25">
      <c r="A29" s="6" t="s">
        <v>36</v>
      </c>
      <c r="B29" s="7">
        <f>SUMIFS(Conferencias!$AE:$AE,Conferencias!K:K,1)</f>
        <v>0.11000000000000001</v>
      </c>
      <c r="C29" s="7">
        <f>SUMIFS(Conferencias!$AE:$AE,Conferencias!L:L,1)</f>
        <v>1.9850000000000001</v>
      </c>
      <c r="D29" s="7">
        <f>SUMIFS(Conferencias!$AE:$AE,Conferencias!M:M,1)</f>
        <v>0.22000000000000003</v>
      </c>
      <c r="E29" s="7">
        <f>SUMIFS(Conferencias!$AE:$AE,Conferencias!N:N,1)</f>
        <v>0</v>
      </c>
      <c r="F29" s="7">
        <f>SUMIFS(Conferencias!$AE:$AE,Conferencias!O:O,1)</f>
        <v>4.0782707923323249</v>
      </c>
      <c r="G29" s="7">
        <f>SUMIFS(Conferencias!$AE:$AE,Conferencias!P:P,1)</f>
        <v>6.4995291233227439</v>
      </c>
      <c r="H29" s="7">
        <f>SUMIFS(Conferencias!$AE:$AE,Conferencias!Q:Q,1)</f>
        <v>0.42500000000000004</v>
      </c>
      <c r="I29" s="7">
        <f>SUMIFS(Conferencias!$AE:$AE,Conferencias!R:R,1)</f>
        <v>2.8758330990418572E-2</v>
      </c>
      <c r="J29" s="7">
        <f>SUMIFS(Conferencias!$AE:$AE,Conferencias!S:S,1)</f>
        <v>4.085</v>
      </c>
      <c r="K29" s="7">
        <f>SUMIFS(Conferencias!$AE:$AE,Conferencias!T:T,1)</f>
        <v>0.6875</v>
      </c>
      <c r="L29" s="7">
        <f>SUMIFS(Conferencias!$AE:$AE,Conferencias!U:U,1)</f>
        <v>3.0537583309904188</v>
      </c>
      <c r="M29" s="7">
        <f>SUMIFS(Conferencias!$AE:$AE,Conferencias!V:V,1)</f>
        <v>0.53202912332274366</v>
      </c>
      <c r="N29" s="7">
        <f>SUMIFS(Conferencias!$AE:$AE,Conferencias!W:W,1)</f>
        <v>1.9525000000000001</v>
      </c>
      <c r="O29" s="7">
        <f>SUMIFS(Conferencias!$AE:$AE,Conferencias!X:X,1)</f>
        <v>0.22000000000000003</v>
      </c>
      <c r="P29" s="7">
        <f>SUMIFS(Conferencias!$AE:$AE,Conferencias!Y:Y,1)</f>
        <v>4.1332707923323255</v>
      </c>
      <c r="Q29" s="7">
        <f>SUMIFS(Conferencias!$AE:$AE,Conferencias!Z:Z,1)</f>
        <v>3.08</v>
      </c>
    </row>
    <row r="30" spans="1:24" x14ac:dyDescent="0.25">
      <c r="A30" s="4" t="s">
        <v>37</v>
      </c>
      <c r="B30" s="3">
        <f>SUMIFS(Periodicos!$AE:$AE,Periodicos!K:K,1)</f>
        <v>13.221650253577216</v>
      </c>
      <c r="C30" s="3">
        <f>SUMIFS(Periodicos!$AE:$AE,Periodicos!L:L,1)</f>
        <v>1.8188670047696207</v>
      </c>
      <c r="D30" s="3">
        <f>SUMIFS(Periodicos!$AE:$AE,Periodicos!M:M,1)</f>
        <v>0</v>
      </c>
      <c r="E30" s="3">
        <f>SUMIFS(Periodicos!$AE:$AE,Periodicos!N:N,1)</f>
        <v>0.875</v>
      </c>
      <c r="F30" s="3">
        <f>SUMIFS(Periodicos!$AE:$AE,Periodicos!O:O,1)</f>
        <v>2.4718181179205061</v>
      </c>
      <c r="G30" s="3">
        <f>SUMIFS(Periodicos!$AE:$AE,Periodicos!P:P,1)</f>
        <v>7.1073107566331659</v>
      </c>
      <c r="H30" s="3">
        <f>SUMIFS(Periodicos!$AE:$AE,Periodicos!Q:Q,1)</f>
        <v>1.6841502535772155</v>
      </c>
      <c r="I30" s="3">
        <f>SUMIFS(Periodicos!$AE:$AE,Periodicos!S:S,1)</f>
        <v>2.1571921315582285</v>
      </c>
      <c r="J30" s="3">
        <f>SUMIFS(Periodicos!$AE:$AE,Periodicos!S:S,1)</f>
        <v>2.1571921315582285</v>
      </c>
      <c r="K30" s="3">
        <f>SUMIFS(Periodicos!$AE:$AE,Periodicos!T:T,1)</f>
        <v>2.0024999999999999</v>
      </c>
      <c r="L30" s="3">
        <f>SUMIFS(Periodicos!$AE:$AE,Periodicos!U:U,1)</f>
        <v>1.4416256339430387</v>
      </c>
      <c r="M30" s="3">
        <f>SUMIFS(Periodicos!$AE:$AE,Periodicos!V:V,1)</f>
        <v>2.6103772542483554</v>
      </c>
      <c r="N30" s="3">
        <f>SUMIFS(Periodicos!$AE:$AE,Periodicos!W:W,1)</f>
        <v>0</v>
      </c>
      <c r="O30" s="3">
        <f>SUMIFS(Periodicos!$AE:$AE,Periodicos!X:X,1)</f>
        <v>0.96108375596202589</v>
      </c>
      <c r="P30" s="3">
        <f>SUMIFS(Periodicos!$AE:$AE,Periodicos!Y:Y,1)</f>
        <v>2.9844335023848103</v>
      </c>
      <c r="Q30" s="3">
        <f>SUMIFS(Periodicos!$AE:$AE,Periodicos!Z:Z,1)</f>
        <v>1.9916256339430389</v>
      </c>
      <c r="S30" s="2" t="s">
        <v>38</v>
      </c>
    </row>
    <row r="31" spans="1:24" x14ac:dyDescent="0.25">
      <c r="A31" s="10" t="s">
        <v>22</v>
      </c>
      <c r="B31" s="15">
        <f>SUMIFS(Conferencias!$AB:$AB,Conferencias!K:K,1,Conferencias!$H:$H,1)+SUMIFS(Periodicos!$AB:$AB,Periodicos!K:K,1,Periodicos!$H:$H,1)</f>
        <v>13</v>
      </c>
      <c r="C31" s="15">
        <f>SUMIFS(Conferencias!$AB:$AB,Conferencias!L:L,1,Conferencias!$H:$H,1)+SUMIFS(Periodicos!$AB:$AB,Periodicos!L:L,1,Periodicos!$H:$H,1)</f>
        <v>2.25</v>
      </c>
      <c r="D31" s="15">
        <f>SUMIFS(Conferencias!$AB:$AB,Conferencias!M:M,1,Conferencias!$H:$H,1)+SUMIFS(Periodicos!$AB:$AB,Periodicos!M:M,1,Periodicos!$H:$H,1)</f>
        <v>0</v>
      </c>
      <c r="E31" s="15">
        <f>SUMIFS(Conferencias!$AB:$AB,Conferencias!N:N,1,Conferencias!$H:$H,1)+SUMIFS(Periodicos!$AB:$AB,Periodicos!N:N,1,Periodicos!$H:$H,1)</f>
        <v>0.875</v>
      </c>
      <c r="F31" s="15">
        <f>SUMIFS(Conferencias!$AB:$AB,Conferencias!O:O,1,Conferencias!$H:$H,1)+SUMIFS(Periodicos!$AB:$AB,Periodicos!O:O,1,Periodicos!$H:$H,1)</f>
        <v>6.75</v>
      </c>
      <c r="G31" s="15">
        <f>SUMIFS(Conferencias!$AB:$AB,Conferencias!P:P,1,Conferencias!$H:$H,1)+SUMIFS(Periodicos!$AB:$AB,Periodicos!P:P,1,Periodicos!$H:$H,1)</f>
        <v>13.375</v>
      </c>
      <c r="H31" s="15">
        <f>SUMIFS(Conferencias!$AB:$AB,Conferencias!Q:Q,1,Conferencias!$H:$H,1)+SUMIFS(Periodicos!$AB:$AB,Periodicos!Q:Q,1,Periodicos!$H:$H,1)</f>
        <v>0.75</v>
      </c>
      <c r="I31" s="15">
        <f>SUMIFS(Conferencias!$AB:$AB,Conferencias!R:R,1,Conferencias!$H:$H,1)+SUMIFS(Periodicos!$AB:$AB,Periodicos!R:R,1,Periodicos!$H:$H,1)</f>
        <v>2.375</v>
      </c>
      <c r="J31" s="15">
        <f>SUMIFS(Conferencias!$AB:$AB,Conferencias!S:S,1,Conferencias!$H:$H,1)+SUMIFS(Periodicos!$AB:$AB,Periodicos!S:S,1,Periodicos!$H:$H,1)</f>
        <v>5</v>
      </c>
      <c r="K31" s="15">
        <f>SUMIFS(Conferencias!$AB:$AB,Conferencias!T:T,1,Conferencias!$H:$H,1)+SUMIFS(Periodicos!$AB:$AB,Periodicos!T:T,1,Periodicos!$H:$H,1)</f>
        <v>2.25</v>
      </c>
      <c r="L31" s="15">
        <f>SUMIFS(Conferencias!$AB:$AB,Conferencias!U:U,1,Conferencias!$H:$H,1)+SUMIFS(Periodicos!$AB:$AB,Periodicos!U:U,1,Periodicos!$H:$H,1)</f>
        <v>3.625</v>
      </c>
      <c r="M31" s="15">
        <f>SUMIFS(Conferencias!$AB:$AB,Conferencias!V:V,1,Conferencias!$H:$H,1)+SUMIFS(Periodicos!$AB:$AB,Periodicos!V:V,1,Periodicos!$H:$H,1)</f>
        <v>4.25</v>
      </c>
      <c r="N31" s="15">
        <f>SUMIFS(Conferencias!$AB:$AB,Conferencias!W:W,1,Conferencias!$H:$H,1)+SUMIFS(Periodicos!$AB:$AB,Periodicos!W:W,1,Periodicos!$H:$H,1)</f>
        <v>0.625</v>
      </c>
      <c r="O31" s="15">
        <f>SUMIFS(Conferencias!$AB:$AB,Conferencias!X:X,1,Conferencias!$H:$H,1)+SUMIFS(Periodicos!$AB:$AB,Periodicos!X:X,1,Periodicos!$H:$H,1)</f>
        <v>0.75</v>
      </c>
      <c r="P31" s="15">
        <f>SUMIFS(Conferencias!$AB:$AB,Conferencias!Y:Y,1,Conferencias!$H:$H,1)+SUMIFS(Periodicos!$AB:$AB,Periodicos!Y:Y,1,Periodicos!$H:$H,1)</f>
        <v>5.875</v>
      </c>
      <c r="Q31" s="15">
        <f>SUMIFS(Conferencias!$AB:$AB,Conferencias!Z:Z,1,Conferencias!$H:$H,1)+SUMIFS(Periodicos!$AB:$AB,Periodicos!Z:Z,1,Periodicos!$H:$H,1)</f>
        <v>3.625</v>
      </c>
      <c r="S31" s="2" t="s">
        <v>39</v>
      </c>
    </row>
    <row r="32" spans="1:24" x14ac:dyDescent="0.25">
      <c r="A32" s="16" t="s">
        <v>40</v>
      </c>
      <c r="B32" s="17">
        <f t="shared" ref="B32:Q32" si="14">B29+B30+2*B24+3*B25+MIN(B26*0.2,0.8)</f>
        <v>13.331650253577216</v>
      </c>
      <c r="C32" s="17">
        <f t="shared" si="14"/>
        <v>4.2038670047696209</v>
      </c>
      <c r="D32" s="17">
        <f t="shared" si="14"/>
        <v>0.22000000000000003</v>
      </c>
      <c r="E32" s="17">
        <f t="shared" si="14"/>
        <v>0.875</v>
      </c>
      <c r="F32" s="17">
        <f t="shared" si="14"/>
        <v>6.7500889102528312</v>
      </c>
      <c r="G32" s="17">
        <f t="shared" si="14"/>
        <v>14.206839879955909</v>
      </c>
      <c r="H32" s="17">
        <f t="shared" si="14"/>
        <v>2.1091502535772158</v>
      </c>
      <c r="I32" s="17">
        <f t="shared" si="14"/>
        <v>2.185950462548647</v>
      </c>
      <c r="J32" s="17">
        <f t="shared" si="14"/>
        <v>6.2421921315582285</v>
      </c>
      <c r="K32" s="17">
        <f t="shared" si="14"/>
        <v>4.6899999999999995</v>
      </c>
      <c r="L32" s="17">
        <f t="shared" si="14"/>
        <v>4.8953839649334583</v>
      </c>
      <c r="M32" s="17">
        <f t="shared" si="14"/>
        <v>3.1424063775710991</v>
      </c>
      <c r="N32" s="17">
        <f t="shared" si="14"/>
        <v>1.9525000000000001</v>
      </c>
      <c r="O32" s="17">
        <f t="shared" si="14"/>
        <v>1.181083755962026</v>
      </c>
      <c r="P32" s="17">
        <f t="shared" si="14"/>
        <v>7.1177042947171358</v>
      </c>
      <c r="Q32" s="17">
        <f t="shared" si="14"/>
        <v>5.8716256339430393</v>
      </c>
      <c r="S32" s="2" t="s">
        <v>41</v>
      </c>
      <c r="X32" s="2"/>
    </row>
    <row r="33" spans="1:24" x14ac:dyDescent="0.25">
      <c r="X33" s="2"/>
    </row>
    <row r="35" spans="1:24" x14ac:dyDescent="0.25">
      <c r="A35" s="6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2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24" x14ac:dyDescent="0.25">
      <c r="A37" s="6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24" x14ac:dyDescent="0.25">
      <c r="A38" s="4" t="s">
        <v>44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24" x14ac:dyDescent="0.25">
      <c r="A39" s="10" t="s">
        <v>45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24" x14ac:dyDescent="0.25">
      <c r="A40" s="4" t="s">
        <v>46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24" x14ac:dyDescent="0.25">
      <c r="A41" s="6" t="s">
        <v>47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24" x14ac:dyDescent="0.25">
      <c r="A42" s="4" t="s">
        <v>48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24" x14ac:dyDescent="0.25">
      <c r="A43" s="10" t="s">
        <v>49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24" x14ac:dyDescent="0.25">
      <c r="A44" s="4" t="s">
        <v>50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4" x14ac:dyDescent="0.25">
      <c r="A45" s="6" t="s">
        <v>51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24" x14ac:dyDescent="0.25">
      <c r="A46" s="4" t="s">
        <v>52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24" x14ac:dyDescent="0.25">
      <c r="A47" s="10" t="s">
        <v>53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24" x14ac:dyDescent="0.25">
      <c r="A48" s="4" t="s">
        <v>54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</sheetData>
  <customSheetViews>
    <customSheetView guid="{72A84248-7528-4641-93C6-9429A7C96A1B}" scale="125" showPageBreaks="1" fitToPage="1" printArea="1">
      <pane xSplit="1" ySplit="1" topLeftCell="B2" activePane="bottomRight" state="frozen"/>
      <selection pane="bottomRight" activeCell="R1" sqref="R1:R1048576"/>
      <pageMargins left="0" right="0" top="0" bottom="0" header="0" footer="0"/>
      <printOptions horizontalCentered="1" verticalCentered="1"/>
      <pageSetup paperSize="9" scale="72" orientation="portrait" r:id="rId1"/>
    </customSheetView>
    <customSheetView guid="{D17159D6-6700-6A49-8FAF-59B9A63C8B44}" scale="125" fitToPage="1">
      <pane xSplit="1" ySplit="1" topLeftCell="B17" activePane="bottomRight" state="frozenSplit"/>
      <selection pane="bottomRight" activeCell="H23" sqref="H23"/>
      <pageMargins left="0" right="0" top="0" bottom="0" header="0" footer="0"/>
      <printOptions horizontalCentered="1" verticalCentered="1"/>
      <pageSetup paperSize="9" orientation="portrait" r:id="rId2"/>
    </customSheetView>
  </customSheetViews>
  <phoneticPr fontId="8" type="noConversion"/>
  <conditionalFormatting sqref="B30:Q30">
    <cfRule type="cellIs" dxfId="16" priority="5" operator="lessThan">
      <formula>1.4</formula>
    </cfRule>
  </conditionalFormatting>
  <conditionalFormatting sqref="B32:Q32">
    <cfRule type="cellIs" dxfId="15" priority="3" operator="lessThan">
      <formula>4</formula>
    </cfRule>
  </conditionalFormatting>
  <conditionalFormatting sqref="B31:Q31">
    <cfRule type="cellIs" dxfId="14" priority="2" operator="lessThan">
      <formula>2.8</formula>
    </cfRule>
  </conditionalFormatting>
  <printOptions horizontalCentered="1" verticalCentered="1"/>
  <pageMargins left="0.70000000000000007" right="0.70000000000000007" top="0.75000000000000011" bottom="0.75000000000000011" header="0.30000000000000004" footer="0.30000000000000004"/>
  <pageSetup paperSize="9" scale="72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8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defaultColWidth="11" defaultRowHeight="15.75" x14ac:dyDescent="0.25"/>
  <cols>
    <col min="1" max="1" width="5.125" style="71" bestFit="1" customWidth="1"/>
    <col min="2" max="2" width="4.5" style="71" bestFit="1" customWidth="1"/>
    <col min="3" max="3" width="69.375" customWidth="1"/>
    <col min="4" max="4" width="50.625" customWidth="1"/>
    <col min="5" max="5" width="40.125" bestFit="1" customWidth="1"/>
    <col min="6" max="6" width="14.5" style="132" bestFit="1" customWidth="1"/>
    <col min="7" max="7" width="6.875" style="133" bestFit="1" customWidth="1"/>
    <col min="8" max="8" width="9.625" style="133" bestFit="1" customWidth="1"/>
    <col min="9" max="9" width="4.625" style="133" bestFit="1" customWidth="1"/>
    <col min="10" max="10" width="1.875" customWidth="1"/>
    <col min="11" max="12" width="4.625" style="92" bestFit="1" customWidth="1"/>
    <col min="13" max="13" width="4.625" style="92" customWidth="1"/>
    <col min="14" max="26" width="4.625" style="92" bestFit="1" customWidth="1"/>
    <col min="27" max="27" width="1.875" customWidth="1"/>
    <col min="28" max="28" width="5.125" style="123" bestFit="1" customWidth="1"/>
    <col min="29" max="29" width="3.125" style="124" customWidth="1"/>
    <col min="30" max="30" width="4.875" style="134" bestFit="1" customWidth="1"/>
    <col min="31" max="31" width="5.125" style="123" bestFit="1" customWidth="1"/>
  </cols>
  <sheetData>
    <row r="1" spans="1:46" s="88" customFormat="1" ht="126.75" customHeight="1" x14ac:dyDescent="0.25">
      <c r="A1" s="87" t="s">
        <v>55</v>
      </c>
      <c r="B1" s="87" t="s">
        <v>56</v>
      </c>
      <c r="C1" s="88" t="s">
        <v>57</v>
      </c>
      <c r="D1" s="88" t="s">
        <v>58</v>
      </c>
      <c r="E1" s="88" t="s">
        <v>59</v>
      </c>
      <c r="F1" s="130" t="s">
        <v>60</v>
      </c>
      <c r="G1" s="130" t="s">
        <v>61</v>
      </c>
      <c r="H1" s="130" t="s">
        <v>22</v>
      </c>
      <c r="I1" s="131" t="s">
        <v>62</v>
      </c>
      <c r="J1" s="87"/>
      <c r="K1" s="135" t="str">
        <f>Geral!B1</f>
        <v>Diego Haddad</v>
      </c>
      <c r="L1" s="135" t="str">
        <f>Geral!C1</f>
        <v>Diego Brandão</v>
      </c>
      <c r="M1" s="135" t="s">
        <v>3</v>
      </c>
      <c r="N1" s="135" t="str">
        <f>Geral!E1</f>
        <v>Douglas Cardoso</v>
      </c>
      <c r="O1" s="135" t="str">
        <f>Geral!F1</f>
        <v>Eduardo Bezerra</v>
      </c>
      <c r="P1" s="135" t="str">
        <f>Geral!G1</f>
        <v>Eduardo Ogasawara</v>
      </c>
      <c r="Q1" s="135" t="str">
        <f>Geral!H1</f>
        <v>Felipe Henriques</v>
      </c>
      <c r="R1" s="135" t="str">
        <f>Geral!I1</f>
        <v>Glauco Amorim</v>
      </c>
      <c r="S1" s="135" t="str">
        <f>Geral!J1</f>
        <v>Gustavo Guedes</v>
      </c>
      <c r="T1" s="135" t="str">
        <f>Geral!K1</f>
        <v xml:space="preserve">Joao Quadros </v>
      </c>
      <c r="U1" s="135" t="str">
        <f>Geral!L1</f>
        <v>Joel dos Santos</v>
      </c>
      <c r="V1" s="135" t="str">
        <f>Geral!M1</f>
        <v>Jorge Soares</v>
      </c>
      <c r="W1" s="135" t="str">
        <f>Geral!N1</f>
        <v>Kele Belloze</v>
      </c>
      <c r="X1" s="135" t="str">
        <f>Geral!O1</f>
        <v>Laura de Assis</v>
      </c>
      <c r="Y1" s="135" t="str">
        <f>Geral!P1</f>
        <v>Pedro Gonzalez</v>
      </c>
      <c r="Z1" s="135" t="str">
        <f>Geral!Q1</f>
        <v>Rafaelli Coutinho</v>
      </c>
      <c r="AA1" s="87"/>
      <c r="AB1" s="121" t="s">
        <v>60</v>
      </c>
      <c r="AC1" s="122" t="s">
        <v>63</v>
      </c>
      <c r="AD1" s="121" t="s">
        <v>64</v>
      </c>
      <c r="AE1" s="121" t="s">
        <v>65</v>
      </c>
    </row>
    <row r="2" spans="1:46" s="72" customFormat="1" x14ac:dyDescent="0.25">
      <c r="A2" s="71">
        <v>2021</v>
      </c>
      <c r="B2" s="71">
        <v>1</v>
      </c>
      <c r="C2" t="s">
        <v>133</v>
      </c>
      <c r="D2" t="s">
        <v>116</v>
      </c>
      <c r="E2" s="8" t="s">
        <v>134</v>
      </c>
      <c r="F2" s="132" t="str">
        <f>VLOOKUP(D2,LConferencias!A:B,2,FALSE)</f>
        <v>A4</v>
      </c>
      <c r="G2" s="132">
        <v>1</v>
      </c>
      <c r="H2" s="132">
        <f>VLOOKUP(D2,LConferencias!A:D,4,TRUE)</f>
        <v>1</v>
      </c>
      <c r="I2" s="132">
        <v>1</v>
      </c>
      <c r="J2" s="71"/>
      <c r="K2" s="92"/>
      <c r="L2" s="92"/>
      <c r="M2" s="92"/>
      <c r="N2" s="92"/>
      <c r="O2" s="92"/>
      <c r="P2" s="92"/>
      <c r="Q2" s="92"/>
      <c r="R2" s="92"/>
      <c r="S2" s="92"/>
      <c r="T2" s="92"/>
      <c r="U2" s="92">
        <v>1</v>
      </c>
      <c r="V2" s="92"/>
      <c r="W2" s="92"/>
      <c r="X2" s="92"/>
      <c r="Y2" s="92"/>
      <c r="Z2" s="92"/>
      <c r="AA2"/>
      <c r="AB2" s="123">
        <f>VLOOKUP(F2,Tabelas!A:C,2,FALSE)</f>
        <v>0.625</v>
      </c>
      <c r="AC2" s="124">
        <f t="shared" ref="AC2:AC33" si="0">SUM(K2:Z2)</f>
        <v>1</v>
      </c>
      <c r="AD2" s="123">
        <f t="shared" ref="AD2:AD33" si="1">IF(AC2&lt;=2,1,1-LOG(AC2-1))</f>
        <v>1</v>
      </c>
      <c r="AE2" s="123">
        <f t="shared" ref="AE2:AE33" si="2">AB2*IF(I2&gt;0,1.1,1)*AD2</f>
        <v>0.6875</v>
      </c>
      <c r="AF2"/>
      <c r="AG2"/>
      <c r="AH2"/>
      <c r="AT2"/>
    </row>
    <row r="3" spans="1:46" x14ac:dyDescent="0.25">
      <c r="A3" s="71">
        <v>2021</v>
      </c>
      <c r="B3" s="71">
        <v>2</v>
      </c>
      <c r="C3" t="s">
        <v>135</v>
      </c>
      <c r="D3" t="s">
        <v>81</v>
      </c>
      <c r="E3" t="s">
        <v>136</v>
      </c>
      <c r="F3" s="132" t="str">
        <f>VLOOKUP(D3,LConferencias!A:B,2,FALSE)</f>
        <v>A4</v>
      </c>
      <c r="G3" s="132">
        <f>VLOOKUP(D3,LConferencias!A:C,3,TRUE)</f>
        <v>1</v>
      </c>
      <c r="H3" s="132">
        <f>VLOOKUP(D3,LConferencias!A:D,4,TRUE)</f>
        <v>1</v>
      </c>
      <c r="I3" s="132">
        <f t="shared" ref="I3:I12" si="3">IF(E3&lt;&gt;"",1,0)</f>
        <v>1</v>
      </c>
      <c r="J3" s="71"/>
      <c r="L3" s="92">
        <v>1</v>
      </c>
      <c r="Z3" s="92">
        <v>1</v>
      </c>
      <c r="AB3" s="123">
        <f>VLOOKUP(F3,Tabelas!A:C,2,FALSE)</f>
        <v>0.625</v>
      </c>
      <c r="AC3" s="124">
        <f t="shared" si="0"/>
        <v>2</v>
      </c>
      <c r="AD3" s="123">
        <f t="shared" si="1"/>
        <v>1</v>
      </c>
      <c r="AE3" s="123">
        <f t="shared" si="2"/>
        <v>0.6875</v>
      </c>
    </row>
    <row r="4" spans="1:46" x14ac:dyDescent="0.25">
      <c r="A4" s="71">
        <v>2021</v>
      </c>
      <c r="B4" s="71">
        <v>3</v>
      </c>
      <c r="C4" t="s">
        <v>141</v>
      </c>
      <c r="D4" t="s">
        <v>142</v>
      </c>
      <c r="E4" t="s">
        <v>143</v>
      </c>
      <c r="F4" s="132" t="str">
        <f>VLOOKUP(D4,LConferencias!A:B,2,FALSE)</f>
        <v>B1</v>
      </c>
      <c r="G4" s="132">
        <f>VLOOKUP(D4,LConferencias!A:C,3,TRUE)</f>
        <v>1</v>
      </c>
      <c r="H4" s="132">
        <f>VLOOKUP(D4,LConferencias!A:D,4,TRUE)</f>
        <v>1</v>
      </c>
      <c r="I4" s="132">
        <f t="shared" si="3"/>
        <v>1</v>
      </c>
      <c r="J4" s="71"/>
      <c r="O4" s="92">
        <v>1</v>
      </c>
      <c r="AB4" s="123">
        <f>VLOOKUP(F4,Tabelas!A:C,2,FALSE)</f>
        <v>0.5</v>
      </c>
      <c r="AC4" s="124">
        <f t="shared" si="0"/>
        <v>1</v>
      </c>
      <c r="AD4" s="123">
        <f t="shared" si="1"/>
        <v>1</v>
      </c>
      <c r="AE4" s="123">
        <f t="shared" si="2"/>
        <v>0.55000000000000004</v>
      </c>
    </row>
    <row r="5" spans="1:46" x14ac:dyDescent="0.25">
      <c r="A5" s="71">
        <v>2021</v>
      </c>
      <c r="B5" s="71">
        <v>4</v>
      </c>
      <c r="C5" t="s">
        <v>123</v>
      </c>
      <c r="D5" t="s">
        <v>101</v>
      </c>
      <c r="E5" t="s">
        <v>124</v>
      </c>
      <c r="F5" s="132" t="str">
        <f>VLOOKUP(D5,LConferencias!A:B,2,FALSE)</f>
        <v>A4</v>
      </c>
      <c r="G5" s="132">
        <f>VLOOKUP(D5,LConferencias!A:C,3,TRUE)</f>
        <v>1</v>
      </c>
      <c r="H5" s="132">
        <f>VLOOKUP(D5,LConferencias!A:D,4,TRUE)</f>
        <v>1</v>
      </c>
      <c r="I5" s="132">
        <f t="shared" si="3"/>
        <v>1</v>
      </c>
      <c r="J5" s="71"/>
      <c r="S5" s="92">
        <v>1</v>
      </c>
      <c r="AB5" s="123">
        <f>VLOOKUP(F5,Tabelas!A:C,2,FALSE)</f>
        <v>0.625</v>
      </c>
      <c r="AC5" s="124">
        <f t="shared" si="0"/>
        <v>1</v>
      </c>
      <c r="AD5" s="123">
        <f t="shared" si="1"/>
        <v>1</v>
      </c>
      <c r="AE5" s="123">
        <f t="shared" si="2"/>
        <v>0.6875</v>
      </c>
    </row>
    <row r="6" spans="1:46" x14ac:dyDescent="0.25">
      <c r="A6" s="71">
        <v>2021</v>
      </c>
      <c r="B6" s="71">
        <v>5</v>
      </c>
      <c r="C6" t="s">
        <v>131</v>
      </c>
      <c r="D6" t="s">
        <v>132</v>
      </c>
      <c r="E6" t="s">
        <v>91</v>
      </c>
      <c r="F6" s="132" t="str">
        <f>VLOOKUP(D6,LConferencias!A:B,2,FALSE)</f>
        <v>NI</v>
      </c>
      <c r="G6" s="132">
        <f>VLOOKUP(D6,LConferencias!A:C,3,TRUE)</f>
        <v>0</v>
      </c>
      <c r="H6" s="132">
        <f>VLOOKUP(D6,LConferencias!A:D,4,TRUE)</f>
        <v>0</v>
      </c>
      <c r="I6" s="132">
        <f t="shared" si="3"/>
        <v>1</v>
      </c>
      <c r="J6" s="71"/>
      <c r="P6" s="92">
        <v>1</v>
      </c>
      <c r="AB6" s="123">
        <f>VLOOKUP(F6,Tabelas!A:C,2,FALSE)</f>
        <v>0</v>
      </c>
      <c r="AC6" s="124">
        <f t="shared" si="0"/>
        <v>1</v>
      </c>
      <c r="AD6" s="123">
        <f t="shared" si="1"/>
        <v>1</v>
      </c>
      <c r="AE6" s="123">
        <f t="shared" si="2"/>
        <v>0</v>
      </c>
    </row>
    <row r="7" spans="1:46" x14ac:dyDescent="0.25">
      <c r="A7" s="71">
        <v>2021</v>
      </c>
      <c r="B7" s="71">
        <v>6</v>
      </c>
      <c r="C7" t="s">
        <v>139</v>
      </c>
      <c r="D7" t="s">
        <v>140</v>
      </c>
      <c r="E7" s="2"/>
      <c r="F7" s="132" t="str">
        <f>VLOOKUP(D7,LConferencias!A:B,2,FALSE)</f>
        <v>NI</v>
      </c>
      <c r="G7" s="132">
        <f>VLOOKUP(D7,LConferencias!A:C,3,TRUE)</f>
        <v>0</v>
      </c>
      <c r="H7" s="132">
        <f>VLOOKUP(D7,LConferencias!A:D,4,TRUE)</f>
        <v>0</v>
      </c>
      <c r="I7" s="132">
        <f t="shared" si="3"/>
        <v>0</v>
      </c>
      <c r="J7" s="71"/>
      <c r="O7" s="92">
        <v>1</v>
      </c>
      <c r="P7" s="92">
        <v>1</v>
      </c>
      <c r="AB7" s="123">
        <f>VLOOKUP(F7,Tabelas!A:C,2,FALSE)</f>
        <v>0</v>
      </c>
      <c r="AC7" s="124">
        <f t="shared" si="0"/>
        <v>2</v>
      </c>
      <c r="AD7" s="123">
        <f t="shared" si="1"/>
        <v>1</v>
      </c>
      <c r="AE7" s="123">
        <f t="shared" si="2"/>
        <v>0</v>
      </c>
    </row>
    <row r="8" spans="1:46" x14ac:dyDescent="0.25">
      <c r="A8" s="71">
        <v>2021</v>
      </c>
      <c r="B8" s="71">
        <v>7</v>
      </c>
      <c r="C8" t="s">
        <v>92</v>
      </c>
      <c r="D8" s="82" t="s">
        <v>73</v>
      </c>
      <c r="E8" s="8" t="s">
        <v>93</v>
      </c>
      <c r="F8" s="132" t="str">
        <f>VLOOKUP(D8,LConferencias!A:B,2,FALSE)</f>
        <v>NI</v>
      </c>
      <c r="G8" s="132">
        <v>1</v>
      </c>
      <c r="H8" s="132">
        <f>VLOOKUP(D8,LConferencias!A:D,4,TRUE)</f>
        <v>0</v>
      </c>
      <c r="I8" s="132">
        <f t="shared" si="3"/>
        <v>1</v>
      </c>
      <c r="J8" s="71"/>
      <c r="P8" s="92">
        <v>1</v>
      </c>
      <c r="U8" s="92">
        <v>1</v>
      </c>
      <c r="AB8" s="123">
        <f>VLOOKUP(F8,Tabelas!A:C,2,FALSE)</f>
        <v>0</v>
      </c>
      <c r="AC8" s="124">
        <f t="shared" si="0"/>
        <v>2</v>
      </c>
      <c r="AD8" s="123">
        <f t="shared" si="1"/>
        <v>1</v>
      </c>
      <c r="AE8" s="123">
        <f t="shared" si="2"/>
        <v>0</v>
      </c>
    </row>
    <row r="9" spans="1:46" x14ac:dyDescent="0.25">
      <c r="A9" s="71">
        <v>2021</v>
      </c>
      <c r="B9" s="71">
        <v>8</v>
      </c>
      <c r="C9" t="s">
        <v>107</v>
      </c>
      <c r="D9" t="s">
        <v>81</v>
      </c>
      <c r="E9" s="2" t="s">
        <v>108</v>
      </c>
      <c r="F9" s="132" t="str">
        <f>VLOOKUP(D9,LConferencias!A:B,2,FALSE)</f>
        <v>A4</v>
      </c>
      <c r="G9" s="132">
        <f>VLOOKUP(D9,LConferencias!A:C,3,TRUE)</f>
        <v>1</v>
      </c>
      <c r="H9" s="132">
        <f>VLOOKUP(D9,LConferencias!A:D,4,TRUE)</f>
        <v>1</v>
      </c>
      <c r="I9" s="132">
        <f t="shared" si="3"/>
        <v>1</v>
      </c>
      <c r="J9" s="71"/>
      <c r="P9" s="92">
        <v>1</v>
      </c>
      <c r="Z9" s="92">
        <v>1</v>
      </c>
      <c r="AB9" s="123">
        <f>VLOOKUP(F9,Tabelas!A:C,2,FALSE)</f>
        <v>0.625</v>
      </c>
      <c r="AC9" s="124">
        <f t="shared" si="0"/>
        <v>2</v>
      </c>
      <c r="AD9" s="123">
        <f t="shared" si="1"/>
        <v>1</v>
      </c>
      <c r="AE9" s="123">
        <f t="shared" si="2"/>
        <v>0.6875</v>
      </c>
    </row>
    <row r="10" spans="1:46" x14ac:dyDescent="0.25">
      <c r="A10" s="71">
        <v>2021</v>
      </c>
      <c r="B10" s="71">
        <v>9</v>
      </c>
      <c r="C10" t="s">
        <v>144</v>
      </c>
      <c r="D10" t="s">
        <v>73</v>
      </c>
      <c r="E10" s="8" t="s">
        <v>674</v>
      </c>
      <c r="F10" s="132" t="str">
        <f>VLOOKUP(D10,LConferencias!A:B,2,FALSE)</f>
        <v>NI</v>
      </c>
      <c r="G10" s="132">
        <f>VLOOKUP(D10,LConferencias!A:C,3,TRUE)</f>
        <v>0</v>
      </c>
      <c r="H10" s="132">
        <f>VLOOKUP(D10,LConferencias!A:D,4,TRUE)</f>
        <v>0</v>
      </c>
      <c r="I10" s="132">
        <f t="shared" si="3"/>
        <v>1</v>
      </c>
      <c r="J10" s="71"/>
      <c r="O10" s="92">
        <v>1</v>
      </c>
      <c r="W10" s="92">
        <v>1</v>
      </c>
      <c r="AB10" s="123">
        <f>VLOOKUP(F10,Tabelas!A:C,2,FALSE)</f>
        <v>0</v>
      </c>
      <c r="AC10" s="124">
        <f t="shared" si="0"/>
        <v>2</v>
      </c>
      <c r="AD10" s="123">
        <f t="shared" si="1"/>
        <v>1</v>
      </c>
      <c r="AE10" s="123">
        <f t="shared" si="2"/>
        <v>0</v>
      </c>
    </row>
    <row r="11" spans="1:46" x14ac:dyDescent="0.25">
      <c r="A11" s="71">
        <v>2021</v>
      </c>
      <c r="B11" s="71">
        <v>10</v>
      </c>
      <c r="C11" t="s">
        <v>77</v>
      </c>
      <c r="D11" t="s">
        <v>78</v>
      </c>
      <c r="E11" s="8" t="s">
        <v>79</v>
      </c>
      <c r="F11" s="132" t="str">
        <f>VLOOKUP(D11,LConferencias!A:B,2,FALSE)</f>
        <v>B4</v>
      </c>
      <c r="G11" s="132">
        <f>VLOOKUP(D11,LConferencias!A:C,3,TRUE)</f>
        <v>1</v>
      </c>
      <c r="H11" s="132">
        <f>VLOOKUP(D11,LConferencias!A:D,4,TRUE)</f>
        <v>0</v>
      </c>
      <c r="I11" s="132">
        <f t="shared" si="3"/>
        <v>1</v>
      </c>
      <c r="J11" s="71"/>
      <c r="Q11" s="92">
        <v>1</v>
      </c>
      <c r="W11" s="92">
        <v>1</v>
      </c>
      <c r="AB11" s="123">
        <f>VLOOKUP(F11,Tabelas!A:C,2,FALSE)</f>
        <v>0.05</v>
      </c>
      <c r="AC11" s="124">
        <f t="shared" si="0"/>
        <v>2</v>
      </c>
      <c r="AD11" s="123">
        <f t="shared" si="1"/>
        <v>1</v>
      </c>
      <c r="AE11" s="123">
        <f t="shared" si="2"/>
        <v>5.5000000000000007E-2</v>
      </c>
    </row>
    <row r="12" spans="1:46" x14ac:dyDescent="0.25">
      <c r="A12" s="71">
        <v>2021</v>
      </c>
      <c r="B12" s="71">
        <v>11</v>
      </c>
      <c r="C12" t="s">
        <v>128</v>
      </c>
      <c r="D12" t="s">
        <v>129</v>
      </c>
      <c r="E12" s="8" t="s">
        <v>130</v>
      </c>
      <c r="F12" s="132" t="str">
        <f>VLOOKUP(D12,LConferencias!A:B,2,FALSE)</f>
        <v>B3</v>
      </c>
      <c r="G12" s="132">
        <f>VLOOKUP(D12,LConferencias!A:C,3,TRUE)</f>
        <v>1</v>
      </c>
      <c r="H12" s="132">
        <f>VLOOKUP(D12,LConferencias!A:D,4,TRUE)</f>
        <v>0</v>
      </c>
      <c r="I12" s="132">
        <f t="shared" si="3"/>
        <v>1</v>
      </c>
      <c r="J12" s="71"/>
      <c r="Q12" s="92">
        <v>1</v>
      </c>
      <c r="X12" s="92">
        <v>1</v>
      </c>
      <c r="AB12" s="123">
        <f>VLOOKUP(F12,Tabelas!A:C,2,FALSE)</f>
        <v>0.1</v>
      </c>
      <c r="AC12" s="124">
        <f t="shared" si="0"/>
        <v>2</v>
      </c>
      <c r="AD12" s="123">
        <f t="shared" si="1"/>
        <v>1</v>
      </c>
      <c r="AE12" s="123">
        <f t="shared" si="2"/>
        <v>0.11000000000000001</v>
      </c>
    </row>
    <row r="13" spans="1:46" x14ac:dyDescent="0.25">
      <c r="A13" s="71">
        <v>2021</v>
      </c>
      <c r="B13" s="71">
        <v>12</v>
      </c>
      <c r="C13" t="s">
        <v>72</v>
      </c>
      <c r="D13" s="82" t="s">
        <v>73</v>
      </c>
      <c r="F13" s="132" t="str">
        <f>VLOOKUP(D13,LConferencias!A:B,2,FALSE)</f>
        <v>NI</v>
      </c>
      <c r="G13" s="132">
        <v>1</v>
      </c>
      <c r="H13" s="132">
        <f>VLOOKUP(D13,LConferencias!A:D,4,TRUE)</f>
        <v>0</v>
      </c>
      <c r="I13" s="132">
        <v>1</v>
      </c>
      <c r="J13" s="71"/>
      <c r="P13" s="92">
        <v>1</v>
      </c>
      <c r="AB13" s="123">
        <f>VLOOKUP(F13,Tabelas!A:C,2,FALSE)</f>
        <v>0</v>
      </c>
      <c r="AC13" s="124">
        <f t="shared" si="0"/>
        <v>1</v>
      </c>
      <c r="AD13" s="123">
        <f t="shared" si="1"/>
        <v>1</v>
      </c>
      <c r="AE13" s="123">
        <f t="shared" si="2"/>
        <v>0</v>
      </c>
    </row>
    <row r="14" spans="1:46" x14ac:dyDescent="0.25">
      <c r="A14" s="71">
        <v>2021</v>
      </c>
      <c r="B14" s="71">
        <v>13</v>
      </c>
      <c r="C14" t="s">
        <v>80</v>
      </c>
      <c r="D14" t="s">
        <v>81</v>
      </c>
      <c r="E14" s="8" t="s">
        <v>675</v>
      </c>
      <c r="F14" s="132" t="str">
        <f>VLOOKUP(D14,LConferencias!A:B,2,FALSE)</f>
        <v>A4</v>
      </c>
      <c r="G14" s="132">
        <f>VLOOKUP(D14,LConferencias!A:C,3,TRUE)</f>
        <v>1</v>
      </c>
      <c r="H14" s="132">
        <f>VLOOKUP(D14,LConferencias!A:D,4,TRUE)</f>
        <v>1</v>
      </c>
      <c r="I14" s="132">
        <f>IF(E14&lt;&gt;"",1,0)</f>
        <v>1</v>
      </c>
      <c r="J14" s="71"/>
      <c r="O14" s="92">
        <v>1</v>
      </c>
      <c r="P14" s="92">
        <v>1</v>
      </c>
      <c r="AB14" s="123">
        <f>VLOOKUP(F14,Tabelas!A:C,2,FALSE)</f>
        <v>0.625</v>
      </c>
      <c r="AC14" s="124">
        <f t="shared" si="0"/>
        <v>2</v>
      </c>
      <c r="AD14" s="123">
        <f t="shared" si="1"/>
        <v>1</v>
      </c>
      <c r="AE14" s="123">
        <f t="shared" si="2"/>
        <v>0.6875</v>
      </c>
    </row>
    <row r="15" spans="1:46" x14ac:dyDescent="0.25">
      <c r="A15" s="71">
        <v>2021</v>
      </c>
      <c r="B15" s="71">
        <v>14</v>
      </c>
      <c r="C15" t="s">
        <v>96</v>
      </c>
      <c r="D15" t="s">
        <v>97</v>
      </c>
      <c r="E15" s="8"/>
      <c r="F15" s="132" t="str">
        <f>VLOOKUP(D15,LConferencias!A:B,2,FALSE)</f>
        <v>NI</v>
      </c>
      <c r="G15" s="132">
        <f>VLOOKUP(D15,LConferencias!A:C,3,TRUE)</f>
        <v>0</v>
      </c>
      <c r="H15" s="132">
        <f>VLOOKUP(D15,LConferencias!A:D,4,TRUE)</f>
        <v>0</v>
      </c>
      <c r="I15" s="132">
        <f>IF(E15&lt;&gt;"",1,0)</f>
        <v>0</v>
      </c>
      <c r="J15" s="71"/>
      <c r="Q15" s="92">
        <v>1</v>
      </c>
      <c r="AB15" s="123">
        <f>VLOOKUP(F15,Tabelas!A:C,2,FALSE)</f>
        <v>0</v>
      </c>
      <c r="AC15" s="124">
        <f t="shared" si="0"/>
        <v>1</v>
      </c>
      <c r="AD15" s="123">
        <f t="shared" si="1"/>
        <v>1</v>
      </c>
      <c r="AE15" s="123">
        <f t="shared" si="2"/>
        <v>0</v>
      </c>
    </row>
    <row r="16" spans="1:46" x14ac:dyDescent="0.25">
      <c r="A16" s="71">
        <v>2021</v>
      </c>
      <c r="B16" s="71">
        <v>15</v>
      </c>
      <c r="C16" t="s">
        <v>145</v>
      </c>
      <c r="D16" t="s">
        <v>73</v>
      </c>
      <c r="F16" s="132" t="str">
        <f>VLOOKUP(D16,LConferencias!A:B,2,FALSE)</f>
        <v>NI</v>
      </c>
      <c r="G16" s="132">
        <f>VLOOKUP(D16,LConferencias!A:C,3,TRUE)</f>
        <v>0</v>
      </c>
      <c r="H16" s="132">
        <f>VLOOKUP(D16,LConferencias!A:D,4,TRUE)</f>
        <v>0</v>
      </c>
      <c r="I16" s="132">
        <f>IF(E16&lt;&gt;"",1,0)</f>
        <v>0</v>
      </c>
      <c r="J16" s="71"/>
      <c r="W16" s="92">
        <v>1</v>
      </c>
      <c r="AB16" s="123">
        <f>VLOOKUP(F16,Tabelas!A:C,2,FALSE)</f>
        <v>0</v>
      </c>
      <c r="AC16" s="124">
        <f t="shared" si="0"/>
        <v>1</v>
      </c>
      <c r="AD16" s="123">
        <f t="shared" si="1"/>
        <v>1</v>
      </c>
      <c r="AE16" s="123">
        <f t="shared" si="2"/>
        <v>0</v>
      </c>
    </row>
    <row r="17" spans="1:31" x14ac:dyDescent="0.25">
      <c r="A17" s="71">
        <v>2021</v>
      </c>
      <c r="B17" s="71">
        <v>16</v>
      </c>
      <c r="C17" t="s">
        <v>146</v>
      </c>
      <c r="D17" s="82" t="s">
        <v>147</v>
      </c>
      <c r="F17" s="132" t="str">
        <f>VLOOKUP(D17,LConferencias!A:B,2,FALSE)</f>
        <v>B1</v>
      </c>
      <c r="G17" s="132">
        <f>VLOOKUP(D17,LConferencias!A:C,3,TRUE)</f>
        <v>1</v>
      </c>
      <c r="H17" s="132">
        <f>VLOOKUP(D17,LConferencias!A:D,4,TRUE)</f>
        <v>0</v>
      </c>
      <c r="I17" s="132">
        <f>IF(E17&lt;&gt;"",1,0)</f>
        <v>0</v>
      </c>
      <c r="J17" s="71"/>
      <c r="L17" s="92">
        <v>1</v>
      </c>
      <c r="AB17" s="123">
        <f>VLOOKUP(F17,Tabelas!A:C,2,FALSE)</f>
        <v>0.5</v>
      </c>
      <c r="AC17" s="124">
        <f t="shared" si="0"/>
        <v>1</v>
      </c>
      <c r="AD17" s="123">
        <f t="shared" si="1"/>
        <v>1</v>
      </c>
      <c r="AE17" s="123">
        <f t="shared" si="2"/>
        <v>0.5</v>
      </c>
    </row>
    <row r="18" spans="1:31" x14ac:dyDescent="0.25">
      <c r="A18" s="71">
        <v>2021</v>
      </c>
      <c r="B18" s="71">
        <v>17</v>
      </c>
      <c r="C18" t="s">
        <v>148</v>
      </c>
      <c r="D18" t="s">
        <v>149</v>
      </c>
      <c r="F18" s="132" t="str">
        <f>VLOOKUP(D18,LConferencias!A:B,2,FALSE)</f>
        <v>NI</v>
      </c>
      <c r="G18" s="132">
        <f>VLOOKUP(D18,LConferencias!A:C,3,TRUE)</f>
        <v>0</v>
      </c>
      <c r="H18" s="132">
        <f>VLOOKUP(D18,LConferencias!A:D,4,TRUE)</f>
        <v>0</v>
      </c>
      <c r="I18" s="132">
        <f>IF(E18&lt;&gt;"",1,0)</f>
        <v>0</v>
      </c>
      <c r="J18" s="71"/>
      <c r="Y18" s="92">
        <v>1</v>
      </c>
      <c r="AB18" s="123">
        <f>VLOOKUP(F18,Tabelas!A:C,2,FALSE)</f>
        <v>0</v>
      </c>
      <c r="AC18" s="124">
        <f t="shared" si="0"/>
        <v>1</v>
      </c>
      <c r="AD18" s="123">
        <f t="shared" si="1"/>
        <v>1</v>
      </c>
      <c r="AE18" s="123">
        <f t="shared" si="2"/>
        <v>0</v>
      </c>
    </row>
    <row r="19" spans="1:31" x14ac:dyDescent="0.25">
      <c r="A19" s="71">
        <v>2021</v>
      </c>
      <c r="B19" s="71">
        <v>18</v>
      </c>
      <c r="C19" t="s">
        <v>106</v>
      </c>
      <c r="D19" s="82" t="s">
        <v>73</v>
      </c>
      <c r="E19" t="s">
        <v>85</v>
      </c>
      <c r="F19" s="132" t="str">
        <f>VLOOKUP(D19,LConferencias!A:B,2,FALSE)</f>
        <v>NI</v>
      </c>
      <c r="G19" s="132">
        <v>1</v>
      </c>
      <c r="H19" s="132">
        <f>VLOOKUP(D19,LConferencias!A:D,4,TRUE)</f>
        <v>0</v>
      </c>
      <c r="I19" s="132">
        <v>1</v>
      </c>
      <c r="J19" s="71"/>
      <c r="P19" s="92">
        <v>1</v>
      </c>
      <c r="V19" s="92">
        <v>1</v>
      </c>
      <c r="AB19" s="123">
        <f>VLOOKUP(F19,Tabelas!A:C,2,FALSE)</f>
        <v>0</v>
      </c>
      <c r="AC19" s="124">
        <f t="shared" si="0"/>
        <v>2</v>
      </c>
      <c r="AD19" s="123">
        <f t="shared" si="1"/>
        <v>1</v>
      </c>
      <c r="AE19" s="123">
        <f t="shared" si="2"/>
        <v>0</v>
      </c>
    </row>
    <row r="20" spans="1:31" x14ac:dyDescent="0.25">
      <c r="A20" s="71">
        <v>2021</v>
      </c>
      <c r="B20" s="71">
        <v>19</v>
      </c>
      <c r="C20" t="s">
        <v>150</v>
      </c>
      <c r="D20" t="s">
        <v>126</v>
      </c>
      <c r="F20" s="132" t="str">
        <f>VLOOKUP(D20,LConferencias!A:B,2,FALSE)</f>
        <v>NI</v>
      </c>
      <c r="G20" s="132">
        <f>VLOOKUP(D20,LConferencias!A:C,3,TRUE)</f>
        <v>0</v>
      </c>
      <c r="H20" s="132">
        <f>VLOOKUP(D20,LConferencias!A:D,4,TRUE)</f>
        <v>0</v>
      </c>
      <c r="I20" s="132">
        <f>IF(E20&lt;&gt;"",1,0)</f>
        <v>0</v>
      </c>
      <c r="J20" s="71"/>
      <c r="P20" s="92">
        <v>1</v>
      </c>
      <c r="AB20" s="123">
        <f>VLOOKUP(F20,Tabelas!A:C,2,FALSE)</f>
        <v>0</v>
      </c>
      <c r="AC20" s="124">
        <f t="shared" si="0"/>
        <v>1</v>
      </c>
      <c r="AD20" s="123">
        <f t="shared" si="1"/>
        <v>1</v>
      </c>
      <c r="AE20" s="123">
        <f t="shared" si="2"/>
        <v>0</v>
      </c>
    </row>
    <row r="21" spans="1:31" x14ac:dyDescent="0.25">
      <c r="A21" s="71">
        <v>2021</v>
      </c>
      <c r="B21" s="71">
        <v>20</v>
      </c>
      <c r="C21" t="s">
        <v>120</v>
      </c>
      <c r="D21" s="82" t="s">
        <v>121</v>
      </c>
      <c r="F21" s="132" t="str">
        <f>VLOOKUP(D21,LConferencias!A:B,2,FALSE)</f>
        <v>NI</v>
      </c>
      <c r="G21" s="132">
        <v>1</v>
      </c>
      <c r="H21" s="132">
        <f>VLOOKUP(D21,LConferencias!A:D,4,TRUE)</f>
        <v>0</v>
      </c>
      <c r="I21" s="132">
        <v>1</v>
      </c>
      <c r="J21" s="71"/>
      <c r="P21" s="92">
        <v>1</v>
      </c>
      <c r="AB21" s="123">
        <f>VLOOKUP(F21,Tabelas!A:C,2,FALSE)</f>
        <v>0</v>
      </c>
      <c r="AC21" s="124">
        <f t="shared" si="0"/>
        <v>1</v>
      </c>
      <c r="AD21" s="123">
        <f t="shared" si="1"/>
        <v>1</v>
      </c>
      <c r="AE21" s="123">
        <f t="shared" si="2"/>
        <v>0</v>
      </c>
    </row>
    <row r="22" spans="1:31" x14ac:dyDescent="0.25">
      <c r="A22" s="71">
        <v>2021</v>
      </c>
      <c r="B22" s="71">
        <v>21</v>
      </c>
      <c r="C22" t="s">
        <v>151</v>
      </c>
      <c r="D22" t="s">
        <v>152</v>
      </c>
      <c r="E22" t="s">
        <v>68</v>
      </c>
      <c r="F22" s="132" t="str">
        <f>VLOOKUP(D22,LConferencias!A:B,2,FALSE)</f>
        <v>NI</v>
      </c>
      <c r="G22" s="132">
        <f>VLOOKUP(D22,LConferencias!A:C,3,TRUE)</f>
        <v>0</v>
      </c>
      <c r="H22" s="132">
        <f>VLOOKUP(D22,LConferencias!A:D,4,TRUE)</f>
        <v>0</v>
      </c>
      <c r="I22" s="132">
        <f t="shared" ref="I22:I39" si="4">IF(E22&lt;&gt;"",1,0)</f>
        <v>1</v>
      </c>
      <c r="J22" s="71"/>
      <c r="O22" s="92">
        <v>1</v>
      </c>
      <c r="Y22" s="92">
        <v>1</v>
      </c>
      <c r="AB22" s="123">
        <f>VLOOKUP(F22,Tabelas!A:C,2,FALSE)</f>
        <v>0</v>
      </c>
      <c r="AC22" s="124">
        <f t="shared" si="0"/>
        <v>2</v>
      </c>
      <c r="AD22" s="123">
        <f t="shared" si="1"/>
        <v>1</v>
      </c>
      <c r="AE22" s="123">
        <f t="shared" si="2"/>
        <v>0</v>
      </c>
    </row>
    <row r="23" spans="1:31" x14ac:dyDescent="0.25">
      <c r="A23" s="71">
        <v>2021</v>
      </c>
      <c r="B23" s="71">
        <v>22</v>
      </c>
      <c r="C23" t="s">
        <v>137</v>
      </c>
      <c r="D23" s="8" t="s">
        <v>138</v>
      </c>
      <c r="E23" s="8" t="s">
        <v>68</v>
      </c>
      <c r="F23" s="132" t="str">
        <f>VLOOKUP(D23,LConferencias!A:B,2,FALSE)</f>
        <v>B3</v>
      </c>
      <c r="G23" s="132">
        <f>VLOOKUP(D23,LConferencias!A:C,3,TRUE)</f>
        <v>1</v>
      </c>
      <c r="H23" s="132">
        <f>VLOOKUP(D23,LConferencias!A:D,4,TRUE)</f>
        <v>0</v>
      </c>
      <c r="I23" s="132">
        <f t="shared" si="4"/>
        <v>1</v>
      </c>
      <c r="J23" s="71"/>
      <c r="Y23" s="92">
        <v>1</v>
      </c>
      <c r="AB23" s="123">
        <f>VLOOKUP(F23,Tabelas!A:C,2,FALSE)</f>
        <v>0.1</v>
      </c>
      <c r="AC23" s="124">
        <f t="shared" si="0"/>
        <v>1</v>
      </c>
      <c r="AD23" s="123">
        <f t="shared" si="1"/>
        <v>1</v>
      </c>
      <c r="AE23" s="123">
        <f t="shared" si="2"/>
        <v>0.11000000000000001</v>
      </c>
    </row>
    <row r="24" spans="1:31" x14ac:dyDescent="0.25">
      <c r="A24" s="71">
        <v>2021</v>
      </c>
      <c r="B24" s="71">
        <v>23</v>
      </c>
      <c r="C24" t="s">
        <v>66</v>
      </c>
      <c r="D24" t="s">
        <v>67</v>
      </c>
      <c r="E24" t="s">
        <v>68</v>
      </c>
      <c r="F24" s="132" t="str">
        <f>VLOOKUP(D24,LConferencias!A:B,2,FALSE)</f>
        <v>NI</v>
      </c>
      <c r="G24" s="132">
        <f>VLOOKUP(D24,LConferencias!A:C,3,TRUE)</f>
        <v>0</v>
      </c>
      <c r="H24" s="132">
        <f>VLOOKUP(D24,LConferencias!A:D,4,TRUE)</f>
        <v>0</v>
      </c>
      <c r="I24" s="132">
        <f t="shared" si="4"/>
        <v>1</v>
      </c>
      <c r="J24" s="71"/>
      <c r="O24" s="92">
        <v>1</v>
      </c>
      <c r="X24" s="92">
        <v>1</v>
      </c>
      <c r="Y24" s="92">
        <v>1</v>
      </c>
      <c r="AB24" s="123">
        <f>VLOOKUP(F24,Tabelas!A:C,2,FALSE)</f>
        <v>0</v>
      </c>
      <c r="AC24" s="124">
        <f t="shared" si="0"/>
        <v>3</v>
      </c>
      <c r="AD24" s="123">
        <f t="shared" si="1"/>
        <v>0.69897000433601875</v>
      </c>
      <c r="AE24" s="123">
        <f t="shared" si="2"/>
        <v>0</v>
      </c>
    </row>
    <row r="25" spans="1:31" x14ac:dyDescent="0.25">
      <c r="A25" s="71">
        <v>2021</v>
      </c>
      <c r="B25" s="71">
        <v>24</v>
      </c>
      <c r="C25" t="s">
        <v>153</v>
      </c>
      <c r="D25" t="s">
        <v>73</v>
      </c>
      <c r="F25" s="132" t="str">
        <f>VLOOKUP(D25,LConferencias!A:B,2,FALSE)</f>
        <v>NI</v>
      </c>
      <c r="G25" s="132">
        <f>VLOOKUP(D25,LConferencias!A:C,3,TRUE)</f>
        <v>0</v>
      </c>
      <c r="H25" s="132">
        <f>VLOOKUP(D25,LConferencias!A:D,4,TRUE)</f>
        <v>0</v>
      </c>
      <c r="I25" s="132">
        <f t="shared" si="4"/>
        <v>0</v>
      </c>
      <c r="J25" s="71"/>
      <c r="W25" s="92">
        <v>1</v>
      </c>
      <c r="AB25" s="123">
        <f>VLOOKUP(F25,Tabelas!A:C,2,FALSE)</f>
        <v>0</v>
      </c>
      <c r="AC25" s="124">
        <f t="shared" si="0"/>
        <v>1</v>
      </c>
      <c r="AD25" s="123">
        <f t="shared" si="1"/>
        <v>1</v>
      </c>
      <c r="AE25" s="123">
        <f t="shared" si="2"/>
        <v>0</v>
      </c>
    </row>
    <row r="26" spans="1:31" x14ac:dyDescent="0.25">
      <c r="A26" s="71">
        <v>2021</v>
      </c>
      <c r="B26" s="71">
        <v>25</v>
      </c>
      <c r="C26" t="s">
        <v>86</v>
      </c>
      <c r="D26" t="s">
        <v>87</v>
      </c>
      <c r="E26" s="8" t="s">
        <v>88</v>
      </c>
      <c r="F26" s="132" t="str">
        <f>VLOOKUP(D26,LConferencias!A:B,2,FALSE)</f>
        <v>B4</v>
      </c>
      <c r="G26" s="132">
        <f>VLOOKUP(D26,LConferencias!A:C,3,TRUE)</f>
        <v>1</v>
      </c>
      <c r="H26" s="132">
        <f>VLOOKUP(D26,LConferencias!A:D,4,TRUE)</f>
        <v>0</v>
      </c>
      <c r="I26" s="132">
        <f t="shared" si="4"/>
        <v>1</v>
      </c>
      <c r="J26" s="71"/>
      <c r="S26" s="92">
        <v>1</v>
      </c>
      <c r="AB26" s="123">
        <f>VLOOKUP(F26,Tabelas!A:C,2,FALSE)</f>
        <v>0.05</v>
      </c>
      <c r="AC26" s="124">
        <f t="shared" si="0"/>
        <v>1</v>
      </c>
      <c r="AD26" s="123">
        <f t="shared" si="1"/>
        <v>1</v>
      </c>
      <c r="AE26" s="123">
        <f t="shared" si="2"/>
        <v>5.5000000000000007E-2</v>
      </c>
    </row>
    <row r="27" spans="1:31" x14ac:dyDescent="0.25">
      <c r="A27" s="71">
        <v>2021</v>
      </c>
      <c r="B27" s="71">
        <v>26</v>
      </c>
      <c r="C27" t="s">
        <v>125</v>
      </c>
      <c r="D27" t="s">
        <v>126</v>
      </c>
      <c r="E27" s="8" t="s">
        <v>676</v>
      </c>
      <c r="F27" s="132" t="str">
        <f>VLOOKUP(D27,LConferencias!A:B,2,FALSE)</f>
        <v>NI</v>
      </c>
      <c r="G27" s="132">
        <f>VLOOKUP(D27,LConferencias!A:C,3,TRUE)</f>
        <v>0</v>
      </c>
      <c r="H27" s="132">
        <f>VLOOKUP(D27,LConferencias!A:D,4,TRUE)</f>
        <v>0</v>
      </c>
      <c r="I27" s="132">
        <f t="shared" si="4"/>
        <v>1</v>
      </c>
      <c r="J27" s="71"/>
      <c r="P27" s="92">
        <v>1</v>
      </c>
      <c r="AB27" s="123">
        <f>VLOOKUP(F27,Tabelas!A:C,2,FALSE)</f>
        <v>0</v>
      </c>
      <c r="AC27" s="124">
        <f t="shared" si="0"/>
        <v>1</v>
      </c>
      <c r="AD27" s="123">
        <f t="shared" si="1"/>
        <v>1</v>
      </c>
      <c r="AE27" s="123">
        <f t="shared" si="2"/>
        <v>0</v>
      </c>
    </row>
    <row r="28" spans="1:31" x14ac:dyDescent="0.25">
      <c r="A28" s="71">
        <v>2021</v>
      </c>
      <c r="B28" s="71">
        <v>27</v>
      </c>
      <c r="C28" t="s">
        <v>115</v>
      </c>
      <c r="D28" t="s">
        <v>116</v>
      </c>
      <c r="E28" s="8" t="s">
        <v>677</v>
      </c>
      <c r="F28" s="132" t="str">
        <f>VLOOKUP(D28,LConferencias!A:B,2,FALSE)</f>
        <v>A4</v>
      </c>
      <c r="G28" s="132">
        <f>VLOOKUP(D28,LConferencias!A:C,3,TRUE)</f>
        <v>1</v>
      </c>
      <c r="H28" s="132">
        <f>VLOOKUP(D28,LConferencias!A:D,4,TRUE)</f>
        <v>1</v>
      </c>
      <c r="I28" s="132">
        <f t="shared" si="4"/>
        <v>1</v>
      </c>
      <c r="J28" s="71"/>
      <c r="S28" s="92">
        <v>1</v>
      </c>
      <c r="AB28" s="123">
        <f>VLOOKUP(F28,Tabelas!A:C,2,FALSE)</f>
        <v>0.625</v>
      </c>
      <c r="AC28" s="124">
        <f t="shared" si="0"/>
        <v>1</v>
      </c>
      <c r="AD28" s="123">
        <f t="shared" si="1"/>
        <v>1</v>
      </c>
      <c r="AE28" s="123">
        <f t="shared" si="2"/>
        <v>0.6875</v>
      </c>
    </row>
    <row r="29" spans="1:31" x14ac:dyDescent="0.25">
      <c r="A29" s="71">
        <v>2021</v>
      </c>
      <c r="B29" s="71">
        <v>28</v>
      </c>
      <c r="C29" t="s">
        <v>122</v>
      </c>
      <c r="D29" t="s">
        <v>113</v>
      </c>
      <c r="E29" s="8" t="s">
        <v>117</v>
      </c>
      <c r="F29" s="132" t="str">
        <f>VLOOKUP(D29,LConferencias!A:B,2,FALSE)</f>
        <v>B2</v>
      </c>
      <c r="G29" s="132">
        <f>VLOOKUP(D29,LConferencias!A:C,3,TRUE)</f>
        <v>1</v>
      </c>
      <c r="H29" s="132">
        <f>VLOOKUP(D29,LConferencias!A:D,4,TRUE)</f>
        <v>0</v>
      </c>
      <c r="I29" s="132">
        <f t="shared" si="4"/>
        <v>1</v>
      </c>
      <c r="J29" s="71"/>
      <c r="S29" s="92">
        <v>1</v>
      </c>
      <c r="AB29" s="123">
        <f>VLOOKUP(F29,Tabelas!A:C,2,FALSE)</f>
        <v>0.2</v>
      </c>
      <c r="AC29" s="124">
        <f t="shared" si="0"/>
        <v>1</v>
      </c>
      <c r="AD29" s="123">
        <f t="shared" si="1"/>
        <v>1</v>
      </c>
      <c r="AE29" s="123">
        <f t="shared" si="2"/>
        <v>0.22000000000000003</v>
      </c>
    </row>
    <row r="30" spans="1:31" x14ac:dyDescent="0.25">
      <c r="A30" s="71">
        <v>2021</v>
      </c>
      <c r="B30" s="71">
        <v>29</v>
      </c>
      <c r="C30" t="s">
        <v>154</v>
      </c>
      <c r="D30" s="82" t="s">
        <v>73</v>
      </c>
      <c r="E30" t="s">
        <v>155</v>
      </c>
      <c r="F30" s="132" t="str">
        <f>VLOOKUP(D30,LConferencias!A:B,2,FALSE)</f>
        <v>NI</v>
      </c>
      <c r="G30" s="132">
        <f>VLOOKUP(D30,LConferencias!A:C,3,TRUE)</f>
        <v>0</v>
      </c>
      <c r="H30" s="132">
        <f>VLOOKUP(D30,LConferencias!A:D,4,TRUE)</f>
        <v>0</v>
      </c>
      <c r="I30" s="132">
        <f t="shared" si="4"/>
        <v>1</v>
      </c>
      <c r="J30" s="71"/>
      <c r="L30" s="92">
        <v>1</v>
      </c>
      <c r="Q30" s="92">
        <v>1</v>
      </c>
      <c r="AB30" s="123">
        <f>VLOOKUP(F30,Tabelas!A:C,2,FALSE)</f>
        <v>0</v>
      </c>
      <c r="AC30" s="124">
        <f t="shared" si="0"/>
        <v>2</v>
      </c>
      <c r="AD30" s="123">
        <f t="shared" si="1"/>
        <v>1</v>
      </c>
      <c r="AE30" s="123">
        <f t="shared" si="2"/>
        <v>0</v>
      </c>
    </row>
    <row r="31" spans="1:31" x14ac:dyDescent="0.25">
      <c r="A31" s="71">
        <v>2021</v>
      </c>
      <c r="B31" s="71">
        <v>30</v>
      </c>
      <c r="C31" t="s">
        <v>98</v>
      </c>
      <c r="D31" t="s">
        <v>99</v>
      </c>
      <c r="F31" s="132" t="str">
        <f>VLOOKUP(D31,LConferencias!A:B,2,FALSE)</f>
        <v>A3</v>
      </c>
      <c r="G31" s="132">
        <f>VLOOKUP(D31,LConferencias!A:C,3,TRUE)</f>
        <v>1</v>
      </c>
      <c r="H31" s="132">
        <f>VLOOKUP(D31,LConferencias!A:D,4,TRUE)</f>
        <v>1</v>
      </c>
      <c r="I31" s="132">
        <f t="shared" si="4"/>
        <v>0</v>
      </c>
      <c r="J31" s="71"/>
      <c r="P31" s="92">
        <v>1</v>
      </c>
      <c r="AB31" s="123">
        <f>VLOOKUP(F31,Tabelas!A:C,2,FALSE)</f>
        <v>0.75</v>
      </c>
      <c r="AC31" s="124">
        <f t="shared" si="0"/>
        <v>1</v>
      </c>
      <c r="AD31" s="123">
        <f t="shared" si="1"/>
        <v>1</v>
      </c>
      <c r="AE31" s="123">
        <f t="shared" si="2"/>
        <v>0.75</v>
      </c>
    </row>
    <row r="32" spans="1:31" x14ac:dyDescent="0.25">
      <c r="A32" s="71">
        <v>2021</v>
      </c>
      <c r="B32" s="71">
        <v>31</v>
      </c>
      <c r="C32" t="s">
        <v>156</v>
      </c>
      <c r="D32" s="82" t="s">
        <v>73</v>
      </c>
      <c r="E32" t="s">
        <v>157</v>
      </c>
      <c r="F32" s="132" t="str">
        <f>VLOOKUP(D32,LConferencias!A:B,2,FALSE)</f>
        <v>NI</v>
      </c>
      <c r="G32" s="132">
        <f>VLOOKUP(D32,LConferencias!A:C,3,TRUE)</f>
        <v>0</v>
      </c>
      <c r="H32" s="132">
        <f>VLOOKUP(D32,LConferencias!A:D,4,TRUE)</f>
        <v>0</v>
      </c>
      <c r="I32" s="132">
        <f t="shared" si="4"/>
        <v>1</v>
      </c>
      <c r="J32" s="71"/>
      <c r="L32" s="92">
        <v>1</v>
      </c>
      <c r="Q32" s="92">
        <v>1</v>
      </c>
      <c r="AB32" s="123">
        <f>VLOOKUP(F32,Tabelas!A:C,2,FALSE)</f>
        <v>0</v>
      </c>
      <c r="AC32" s="124">
        <f t="shared" si="0"/>
        <v>2</v>
      </c>
      <c r="AD32" s="123">
        <f t="shared" si="1"/>
        <v>1</v>
      </c>
      <c r="AE32" s="123">
        <f t="shared" si="2"/>
        <v>0</v>
      </c>
    </row>
    <row r="33" spans="1:31" x14ac:dyDescent="0.25">
      <c r="A33" s="71">
        <v>2021</v>
      </c>
      <c r="B33" s="71">
        <v>32</v>
      </c>
      <c r="C33" t="s">
        <v>118</v>
      </c>
      <c r="D33" s="82" t="s">
        <v>78</v>
      </c>
      <c r="E33" s="8" t="s">
        <v>119</v>
      </c>
      <c r="F33" s="132" t="str">
        <f>VLOOKUP(D33,LConferencias!A:B,2,FALSE)</f>
        <v>B4</v>
      </c>
      <c r="G33" s="132">
        <f>VLOOKUP(D33,LConferencias!A:C,3,TRUE)</f>
        <v>1</v>
      </c>
      <c r="H33" s="132">
        <f>VLOOKUP(D33,LConferencias!A:D,4,TRUE)</f>
        <v>0</v>
      </c>
      <c r="I33" s="132">
        <f t="shared" si="4"/>
        <v>1</v>
      </c>
      <c r="J33" s="71"/>
      <c r="S33" s="92">
        <v>1</v>
      </c>
      <c r="AB33" s="123">
        <f>VLOOKUP(F33,Tabelas!A:C,2,FALSE)</f>
        <v>0.05</v>
      </c>
      <c r="AC33" s="124">
        <f t="shared" si="0"/>
        <v>1</v>
      </c>
      <c r="AD33" s="123">
        <f t="shared" si="1"/>
        <v>1</v>
      </c>
      <c r="AE33" s="123">
        <f t="shared" si="2"/>
        <v>5.5000000000000007E-2</v>
      </c>
    </row>
    <row r="34" spans="1:31" x14ac:dyDescent="0.25">
      <c r="A34" s="71">
        <v>2021</v>
      </c>
      <c r="B34" s="71">
        <v>33</v>
      </c>
      <c r="C34" t="s">
        <v>100</v>
      </c>
      <c r="D34" s="82" t="s">
        <v>101</v>
      </c>
      <c r="E34" t="s">
        <v>102</v>
      </c>
      <c r="F34" s="132" t="str">
        <f>VLOOKUP(D34,LConferencias!A:B,2,FALSE)</f>
        <v>A4</v>
      </c>
      <c r="G34" s="132">
        <f>VLOOKUP(D34,LConferencias!A:C,3,TRUE)</f>
        <v>1</v>
      </c>
      <c r="H34" s="132">
        <f>VLOOKUP(D34,LConferencias!A:D,4,TRUE)</f>
        <v>1</v>
      </c>
      <c r="I34" s="132">
        <f t="shared" si="4"/>
        <v>1</v>
      </c>
      <c r="J34" s="71"/>
      <c r="T34" s="92">
        <v>1</v>
      </c>
      <c r="AB34" s="123">
        <f>VLOOKUP(F34,Tabelas!A:C,2,FALSE)</f>
        <v>0.625</v>
      </c>
      <c r="AC34" s="124">
        <f t="shared" ref="AC34:AC67" si="5">SUM(K34:Z34)</f>
        <v>1</v>
      </c>
      <c r="AD34" s="123">
        <f t="shared" ref="AD34:AD65" si="6">IF(AC34&lt;=2,1,1-LOG(AC34-1))</f>
        <v>1</v>
      </c>
      <c r="AE34" s="123">
        <f t="shared" ref="AE34:AE65" si="7">AB34*IF(I34&gt;0,1.1,1)*AD34</f>
        <v>0.6875</v>
      </c>
    </row>
    <row r="35" spans="1:31" x14ac:dyDescent="0.25">
      <c r="A35" s="71">
        <v>2021</v>
      </c>
      <c r="B35" s="71">
        <v>34</v>
      </c>
      <c r="C35" t="s">
        <v>94</v>
      </c>
      <c r="D35" s="82" t="s">
        <v>95</v>
      </c>
      <c r="E35" s="8" t="s">
        <v>678</v>
      </c>
      <c r="F35" s="132" t="str">
        <f>VLOOKUP(D35,LConferencias!A:B,2,FALSE)</f>
        <v>A3</v>
      </c>
      <c r="G35" s="132">
        <v>1</v>
      </c>
      <c r="H35" s="132">
        <f>VLOOKUP(D35,LConferencias!A:D,4,TRUE)</f>
        <v>1</v>
      </c>
      <c r="I35" s="132">
        <f t="shared" si="4"/>
        <v>1</v>
      </c>
      <c r="J35" s="71"/>
      <c r="U35" s="92">
        <v>1</v>
      </c>
      <c r="AB35" s="123">
        <f>VLOOKUP(F35,Tabelas!A:C,2,FALSE)</f>
        <v>0.75</v>
      </c>
      <c r="AC35" s="124">
        <f t="shared" si="5"/>
        <v>1</v>
      </c>
      <c r="AD35" s="123">
        <f t="shared" si="6"/>
        <v>1</v>
      </c>
      <c r="AE35" s="123">
        <f t="shared" si="7"/>
        <v>0.82500000000000007</v>
      </c>
    </row>
    <row r="36" spans="1:31" x14ac:dyDescent="0.25">
      <c r="A36" s="71">
        <v>2021</v>
      </c>
      <c r="B36" s="71">
        <v>35</v>
      </c>
      <c r="C36" t="s">
        <v>158</v>
      </c>
      <c r="D36" s="82" t="s">
        <v>73</v>
      </c>
      <c r="E36" t="s">
        <v>159</v>
      </c>
      <c r="F36" s="132" t="str">
        <f>VLOOKUP(D36,LConferencias!A:B,2,FALSE)</f>
        <v>NI</v>
      </c>
      <c r="G36" s="132">
        <f>VLOOKUP(D36,LConferencias!A:C,3,TRUE)</f>
        <v>0</v>
      </c>
      <c r="H36" s="132">
        <f>VLOOKUP(D36,LConferencias!A:D,4,TRUE)</f>
        <v>0</v>
      </c>
      <c r="I36" s="132">
        <f t="shared" si="4"/>
        <v>1</v>
      </c>
      <c r="J36" s="71"/>
      <c r="L36" s="92">
        <v>1</v>
      </c>
      <c r="Q36" s="92">
        <v>1</v>
      </c>
      <c r="U36" s="92">
        <v>1</v>
      </c>
      <c r="AB36" s="123">
        <f>VLOOKUP(F36,Tabelas!A:C,2,FALSE)</f>
        <v>0</v>
      </c>
      <c r="AC36" s="124">
        <f t="shared" si="5"/>
        <v>3</v>
      </c>
      <c r="AD36" s="123">
        <f t="shared" si="6"/>
        <v>0.69897000433601875</v>
      </c>
      <c r="AE36" s="123">
        <f t="shared" si="7"/>
        <v>0</v>
      </c>
    </row>
    <row r="37" spans="1:31" x14ac:dyDescent="0.25">
      <c r="A37" s="71">
        <v>2021</v>
      </c>
      <c r="B37" s="71">
        <v>36</v>
      </c>
      <c r="C37" t="s">
        <v>89</v>
      </c>
      <c r="D37" s="82" t="s">
        <v>90</v>
      </c>
      <c r="E37" s="8" t="s">
        <v>91</v>
      </c>
      <c r="F37" s="132" t="str">
        <f>VLOOKUP(D37,LConferencias!A:B,2,FALSE)</f>
        <v>NI</v>
      </c>
      <c r="G37" s="132">
        <f>VLOOKUP(D37,LConferencias!A:C,3,TRUE)</f>
        <v>0</v>
      </c>
      <c r="H37" s="132">
        <f>VLOOKUP(D37,LConferencias!A:D,4,TRUE)</f>
        <v>0</v>
      </c>
      <c r="I37" s="132">
        <f t="shared" si="4"/>
        <v>1</v>
      </c>
      <c r="J37" s="71"/>
      <c r="P37" s="92">
        <v>1</v>
      </c>
      <c r="AB37" s="123">
        <f>VLOOKUP(F37,Tabelas!A:C,2,FALSE)</f>
        <v>0</v>
      </c>
      <c r="AC37" s="124">
        <f t="shared" si="5"/>
        <v>1</v>
      </c>
      <c r="AD37" s="123">
        <f t="shared" si="6"/>
        <v>1</v>
      </c>
      <c r="AE37" s="123">
        <f t="shared" si="7"/>
        <v>0</v>
      </c>
    </row>
    <row r="38" spans="1:31" x14ac:dyDescent="0.25">
      <c r="A38" s="71">
        <v>2021</v>
      </c>
      <c r="B38" s="71">
        <v>37</v>
      </c>
      <c r="C38" t="s">
        <v>109</v>
      </c>
      <c r="D38" s="82" t="s">
        <v>101</v>
      </c>
      <c r="E38" t="s">
        <v>110</v>
      </c>
      <c r="F38" s="132" t="str">
        <f>VLOOKUP(D38,LConferencias!A:B,2,FALSE)</f>
        <v>A4</v>
      </c>
      <c r="G38" s="132">
        <f>VLOOKUP(D38,LConferencias!A:C,3,TRUE)</f>
        <v>1</v>
      </c>
      <c r="H38" s="132">
        <f>VLOOKUP(D38,LConferencias!A:D,4,TRUE)</f>
        <v>1</v>
      </c>
      <c r="I38" s="132">
        <f t="shared" si="4"/>
        <v>1</v>
      </c>
      <c r="J38" s="71"/>
      <c r="S38" s="92">
        <v>1</v>
      </c>
      <c r="AB38" s="123">
        <f>VLOOKUP(F38,Tabelas!A:C,2,FALSE)</f>
        <v>0.625</v>
      </c>
      <c r="AC38" s="124">
        <f t="shared" si="5"/>
        <v>1</v>
      </c>
      <c r="AD38" s="123">
        <f t="shared" si="6"/>
        <v>1</v>
      </c>
      <c r="AE38" s="123">
        <f t="shared" si="7"/>
        <v>0.6875</v>
      </c>
    </row>
    <row r="39" spans="1:31" x14ac:dyDescent="0.25">
      <c r="A39" s="71">
        <v>2021</v>
      </c>
      <c r="B39" s="71">
        <v>38</v>
      </c>
      <c r="C39" t="s">
        <v>103</v>
      </c>
      <c r="D39" s="82" t="s">
        <v>104</v>
      </c>
      <c r="E39" t="s">
        <v>105</v>
      </c>
      <c r="F39" s="132" t="str">
        <f>VLOOKUP(D39,LConferencias!A:B,2,FALSE)</f>
        <v>B2</v>
      </c>
      <c r="G39" s="132">
        <f>VLOOKUP(D39,LConferencias!A:C,3,TRUE)</f>
        <v>1</v>
      </c>
      <c r="H39" s="132">
        <f>VLOOKUP(D39,LConferencias!A:D,4,TRUE)</f>
        <v>0</v>
      </c>
      <c r="I39" s="132">
        <f t="shared" si="4"/>
        <v>1</v>
      </c>
      <c r="J39" s="71"/>
      <c r="M39" s="92">
        <v>1</v>
      </c>
      <c r="Y39" s="92">
        <v>1</v>
      </c>
      <c r="AB39" s="123">
        <f>VLOOKUP(F39,Tabelas!A:C,2,FALSE)</f>
        <v>0.2</v>
      </c>
      <c r="AC39" s="124">
        <f t="shared" si="5"/>
        <v>2</v>
      </c>
      <c r="AD39" s="123">
        <f t="shared" si="6"/>
        <v>1</v>
      </c>
      <c r="AE39" s="123">
        <f t="shared" si="7"/>
        <v>0.22000000000000003</v>
      </c>
    </row>
    <row r="40" spans="1:31" x14ac:dyDescent="0.25">
      <c r="A40" s="71">
        <v>2021</v>
      </c>
      <c r="B40" s="71">
        <v>39</v>
      </c>
      <c r="C40" t="s">
        <v>84</v>
      </c>
      <c r="D40" s="82" t="s">
        <v>73</v>
      </c>
      <c r="E40" t="s">
        <v>85</v>
      </c>
      <c r="F40" s="132" t="str">
        <f>VLOOKUP(D40,LConferencias!A:B,2,FALSE)</f>
        <v>NI</v>
      </c>
      <c r="G40" s="132">
        <v>1</v>
      </c>
      <c r="H40" s="132">
        <f>VLOOKUP(D40,LConferencias!A:D,4,TRUE)</f>
        <v>0</v>
      </c>
      <c r="I40" s="132">
        <v>0</v>
      </c>
      <c r="J40" s="71"/>
      <c r="P40" s="92">
        <v>1</v>
      </c>
      <c r="V40" s="92">
        <v>1</v>
      </c>
      <c r="AB40" s="123">
        <f>VLOOKUP(F40,Tabelas!A:C,2,FALSE)</f>
        <v>0</v>
      </c>
      <c r="AC40" s="124">
        <f t="shared" si="5"/>
        <v>2</v>
      </c>
      <c r="AD40" s="123">
        <f t="shared" si="6"/>
        <v>1</v>
      </c>
      <c r="AE40" s="123">
        <f t="shared" si="7"/>
        <v>0</v>
      </c>
    </row>
    <row r="41" spans="1:31" x14ac:dyDescent="0.25">
      <c r="A41" s="71">
        <v>2021</v>
      </c>
      <c r="B41" s="71">
        <v>40</v>
      </c>
      <c r="C41" t="s">
        <v>69</v>
      </c>
      <c r="D41" s="82" t="s">
        <v>70</v>
      </c>
      <c r="E41" t="s">
        <v>71</v>
      </c>
      <c r="F41" s="132" t="str">
        <f>VLOOKUP(D41,LConferencias!A:B,2,FALSE)</f>
        <v>A1</v>
      </c>
      <c r="G41" s="132">
        <f>VLOOKUP(D41,LConferencias!A:C,3,TRUE)</f>
        <v>1</v>
      </c>
      <c r="H41" s="132">
        <f>VLOOKUP(D41,LConferencias!A:D,4,TRUE)</f>
        <v>1</v>
      </c>
      <c r="I41" s="132">
        <f t="shared" ref="I41:I67" si="8">IF(E41&lt;&gt;"",1,0)</f>
        <v>1</v>
      </c>
      <c r="J41" s="71"/>
      <c r="Y41" s="92">
        <v>1</v>
      </c>
      <c r="AB41" s="123">
        <f>VLOOKUP(F41,Tabelas!A:C,2,FALSE)</f>
        <v>1</v>
      </c>
      <c r="AC41" s="124">
        <f t="shared" si="5"/>
        <v>1</v>
      </c>
      <c r="AD41" s="123">
        <f t="shared" si="6"/>
        <v>1</v>
      </c>
      <c r="AE41" s="123">
        <f t="shared" si="7"/>
        <v>1.1000000000000001</v>
      </c>
    </row>
    <row r="42" spans="1:31" x14ac:dyDescent="0.25">
      <c r="A42" s="71">
        <v>2021</v>
      </c>
      <c r="B42" s="71">
        <v>41</v>
      </c>
      <c r="C42" t="s">
        <v>111</v>
      </c>
      <c r="D42" s="82" t="s">
        <v>78</v>
      </c>
      <c r="E42" t="s">
        <v>85</v>
      </c>
      <c r="F42" s="132" t="str">
        <f>VLOOKUP(D42,LConferencias!A:B,2,FALSE)</f>
        <v>B4</v>
      </c>
      <c r="G42" s="132">
        <f>VLOOKUP(D42,LConferencias!A:C,3,TRUE)</f>
        <v>1</v>
      </c>
      <c r="H42" s="132">
        <f>VLOOKUP(D42,LConferencias!A:D,4,TRUE)</f>
        <v>0</v>
      </c>
      <c r="I42" s="132">
        <f t="shared" si="8"/>
        <v>1</v>
      </c>
      <c r="J42" s="71"/>
      <c r="P42" s="92">
        <v>1</v>
      </c>
      <c r="R42" s="92">
        <v>1</v>
      </c>
      <c r="U42" s="92">
        <v>1</v>
      </c>
      <c r="V42" s="92">
        <v>1</v>
      </c>
      <c r="AB42" s="123">
        <f>VLOOKUP(F42,Tabelas!A:C,2,FALSE)</f>
        <v>0.05</v>
      </c>
      <c r="AC42" s="124">
        <f t="shared" si="5"/>
        <v>4</v>
      </c>
      <c r="AD42" s="123">
        <f t="shared" si="6"/>
        <v>0.52287874528033762</v>
      </c>
      <c r="AE42" s="123">
        <f t="shared" si="7"/>
        <v>2.8758330990418572E-2</v>
      </c>
    </row>
    <row r="43" spans="1:31" x14ac:dyDescent="0.25">
      <c r="A43" s="71">
        <v>2021</v>
      </c>
      <c r="B43" s="71">
        <v>42</v>
      </c>
      <c r="C43" t="s">
        <v>112</v>
      </c>
      <c r="D43" s="82" t="s">
        <v>113</v>
      </c>
      <c r="E43" t="s">
        <v>114</v>
      </c>
      <c r="F43" s="132" t="str">
        <f>VLOOKUP(D43,LConferencias!A:B,2,FALSE)</f>
        <v>B2</v>
      </c>
      <c r="G43" s="132">
        <f>VLOOKUP(D43,LConferencias!A:C,3,TRUE)</f>
        <v>1</v>
      </c>
      <c r="H43" s="132">
        <f>VLOOKUP(D43,LConferencias!A:D,4,TRUE)</f>
        <v>0</v>
      </c>
      <c r="I43" s="132">
        <f t="shared" si="8"/>
        <v>1</v>
      </c>
      <c r="J43" s="71"/>
      <c r="S43" s="92">
        <v>1</v>
      </c>
      <c r="AB43" s="123">
        <f>VLOOKUP(F43,Tabelas!A:C,2,FALSE)</f>
        <v>0.2</v>
      </c>
      <c r="AC43" s="124">
        <f t="shared" si="5"/>
        <v>1</v>
      </c>
      <c r="AD43" s="123">
        <f t="shared" si="6"/>
        <v>1</v>
      </c>
      <c r="AE43" s="123">
        <f t="shared" si="7"/>
        <v>0.22000000000000003</v>
      </c>
    </row>
    <row r="44" spans="1:31" x14ac:dyDescent="0.25">
      <c r="A44" s="71">
        <v>2021</v>
      </c>
      <c r="B44" s="71">
        <v>43</v>
      </c>
      <c r="C44" t="s">
        <v>74</v>
      </c>
      <c r="D44" s="82" t="s">
        <v>75</v>
      </c>
      <c r="E44" t="s">
        <v>76</v>
      </c>
      <c r="F44" s="132" t="str">
        <f>VLOOKUP(D44,LConferencias!A:B,2,FALSE)</f>
        <v>B3</v>
      </c>
      <c r="G44" s="132">
        <f>VLOOKUP(D44,LConferencias!A:C,3,TRUE)</f>
        <v>1</v>
      </c>
      <c r="H44" s="132">
        <f>VLOOKUP(D44,LConferencias!A:D,4,TRUE)</f>
        <v>0</v>
      </c>
      <c r="I44" s="132">
        <f t="shared" si="8"/>
        <v>1</v>
      </c>
      <c r="J44" s="71"/>
      <c r="K44" s="92">
        <v>1</v>
      </c>
      <c r="X44" s="92">
        <v>1</v>
      </c>
      <c r="AB44" s="123">
        <f>VLOOKUP(F44,Tabelas!A:C,2,FALSE)</f>
        <v>0.1</v>
      </c>
      <c r="AC44" s="124">
        <f t="shared" si="5"/>
        <v>2</v>
      </c>
      <c r="AD44" s="123">
        <f t="shared" si="6"/>
        <v>1</v>
      </c>
      <c r="AE44" s="123">
        <f t="shared" si="7"/>
        <v>0.11000000000000001</v>
      </c>
    </row>
    <row r="45" spans="1:31" x14ac:dyDescent="0.25">
      <c r="A45" s="137">
        <v>2022</v>
      </c>
      <c r="B45" s="137">
        <v>1</v>
      </c>
      <c r="C45" s="136" t="s">
        <v>160</v>
      </c>
      <c r="D45" t="s">
        <v>75</v>
      </c>
      <c r="E45" t="s">
        <v>161</v>
      </c>
      <c r="F45" s="132" t="str">
        <f>VLOOKUP(D45,LConferencias!A:B,2,FALSE)</f>
        <v>B3</v>
      </c>
      <c r="G45" s="132">
        <f>VLOOKUP(D45,LConferencias!A:C,3,TRUE)</f>
        <v>1</v>
      </c>
      <c r="H45" s="132">
        <f>VLOOKUP(D45,LConferencias!A:D,4,TRUE)</f>
        <v>0</v>
      </c>
      <c r="I45" s="132">
        <f t="shared" si="8"/>
        <v>1</v>
      </c>
      <c r="J45" s="71"/>
      <c r="L45" s="92">
        <v>1</v>
      </c>
      <c r="Q45" s="92">
        <v>1</v>
      </c>
      <c r="AB45" s="123">
        <f>VLOOKUP(F45,Tabelas!A:C,2,FALSE)</f>
        <v>0.1</v>
      </c>
      <c r="AC45" s="124">
        <f t="shared" si="5"/>
        <v>2</v>
      </c>
      <c r="AD45" s="123">
        <f t="shared" si="6"/>
        <v>1</v>
      </c>
      <c r="AE45" s="123">
        <f t="shared" si="7"/>
        <v>0.11000000000000001</v>
      </c>
    </row>
    <row r="46" spans="1:31" x14ac:dyDescent="0.25">
      <c r="A46" s="137">
        <v>2022</v>
      </c>
      <c r="B46" s="137">
        <v>2</v>
      </c>
      <c r="C46" s="136" t="s">
        <v>162</v>
      </c>
      <c r="D46" s="82" t="s">
        <v>101</v>
      </c>
      <c r="E46" t="s">
        <v>114</v>
      </c>
      <c r="F46" s="132" t="str">
        <f>VLOOKUP(D46,LConferencias!A:B,2,FALSE)</f>
        <v>A4</v>
      </c>
      <c r="G46" s="132">
        <f>VLOOKUP(D46,LConferencias!A:C,3,TRUE)</f>
        <v>1</v>
      </c>
      <c r="H46" s="132">
        <f>VLOOKUP(D46,LConferencias!A:D,4,TRUE)</f>
        <v>1</v>
      </c>
      <c r="I46" s="132">
        <f t="shared" si="8"/>
        <v>1</v>
      </c>
      <c r="J46" s="71"/>
      <c r="S46" s="92">
        <v>1</v>
      </c>
      <c r="W46" s="92">
        <v>1</v>
      </c>
      <c r="AB46" s="123">
        <f>VLOOKUP(F46,Tabelas!A:C,2,FALSE)</f>
        <v>0.625</v>
      </c>
      <c r="AC46" s="124">
        <f t="shared" si="5"/>
        <v>2</v>
      </c>
      <c r="AD46" s="123">
        <f t="shared" si="6"/>
        <v>1</v>
      </c>
      <c r="AE46" s="123">
        <f t="shared" si="7"/>
        <v>0.6875</v>
      </c>
    </row>
    <row r="47" spans="1:31" x14ac:dyDescent="0.25">
      <c r="A47" s="137">
        <v>2022</v>
      </c>
      <c r="B47" s="137">
        <v>3</v>
      </c>
      <c r="C47" s="136" t="s">
        <v>679</v>
      </c>
      <c r="D47" t="s">
        <v>282</v>
      </c>
      <c r="E47" t="s">
        <v>577</v>
      </c>
      <c r="F47" s="132" t="str">
        <f>VLOOKUP(D47,LConferencias!A:B,2,FALSE)</f>
        <v>B3</v>
      </c>
      <c r="G47" s="132">
        <f>VLOOKUP(D47,LConferencias!A:C,3,TRUE)</f>
        <v>1</v>
      </c>
      <c r="H47" s="132">
        <f>VLOOKUP(D47,LConferencias!A:D,4,TRUE)</f>
        <v>0</v>
      </c>
      <c r="I47" s="132">
        <f t="shared" si="8"/>
        <v>1</v>
      </c>
      <c r="S47" s="92">
        <v>1</v>
      </c>
      <c r="W47" s="92">
        <v>1</v>
      </c>
      <c r="AB47" s="123">
        <f>VLOOKUP(F47,Tabelas!A:C,2,FALSE)</f>
        <v>0.1</v>
      </c>
      <c r="AC47" s="124">
        <f t="shared" si="5"/>
        <v>2</v>
      </c>
      <c r="AD47" s="123">
        <f t="shared" si="6"/>
        <v>1</v>
      </c>
      <c r="AE47" s="123">
        <f t="shared" si="7"/>
        <v>0.11000000000000001</v>
      </c>
    </row>
    <row r="48" spans="1:31" x14ac:dyDescent="0.25">
      <c r="A48" s="137">
        <v>2022</v>
      </c>
      <c r="B48" s="137">
        <v>4</v>
      </c>
      <c r="C48" s="136" t="s">
        <v>163</v>
      </c>
      <c r="D48" t="s">
        <v>78</v>
      </c>
      <c r="E48" t="s">
        <v>164</v>
      </c>
      <c r="F48" s="132" t="str">
        <f>VLOOKUP(D48,LConferencias!A:B,2,FALSE)</f>
        <v>B4</v>
      </c>
      <c r="G48" s="132">
        <f>VLOOKUP(D48,LConferencias!A:C,3,TRUE)</f>
        <v>1</v>
      </c>
      <c r="H48" s="132">
        <f>VLOOKUP(D48,LConferencias!A:D,4,TRUE)</f>
        <v>0</v>
      </c>
      <c r="I48" s="132">
        <f t="shared" si="8"/>
        <v>1</v>
      </c>
      <c r="J48" s="71"/>
      <c r="P48" s="92">
        <v>1</v>
      </c>
      <c r="Z48" s="92">
        <v>1</v>
      </c>
      <c r="AB48" s="123">
        <f>VLOOKUP(F48,Tabelas!A:C,2,FALSE)</f>
        <v>0.05</v>
      </c>
      <c r="AC48" s="124">
        <f t="shared" si="5"/>
        <v>2</v>
      </c>
      <c r="AD48" s="123">
        <f t="shared" si="6"/>
        <v>1</v>
      </c>
      <c r="AE48" s="123">
        <f t="shared" si="7"/>
        <v>5.5000000000000007E-2</v>
      </c>
    </row>
    <row r="49" spans="1:31" x14ac:dyDescent="0.25">
      <c r="A49" s="137">
        <v>2022</v>
      </c>
      <c r="B49" s="137">
        <v>5</v>
      </c>
      <c r="C49" s="136" t="s">
        <v>680</v>
      </c>
      <c r="D49" t="s">
        <v>320</v>
      </c>
      <c r="E49" t="s">
        <v>590</v>
      </c>
      <c r="F49" s="132" t="str">
        <f>VLOOKUP(D49,LConferencias!A:B,2,FALSE)</f>
        <v>NI</v>
      </c>
      <c r="G49" s="132">
        <f>VLOOKUP(D49,LConferencias!A:C,3,TRUE)</f>
        <v>0</v>
      </c>
      <c r="H49" s="132">
        <f>VLOOKUP(D49,LConferencias!A:D,4,TRUE)</f>
        <v>0</v>
      </c>
      <c r="I49" s="132">
        <f t="shared" si="8"/>
        <v>1</v>
      </c>
      <c r="O49" s="92">
        <v>1</v>
      </c>
      <c r="Q49" s="92">
        <v>1</v>
      </c>
      <c r="AB49" s="123">
        <f>VLOOKUP(F49,Tabelas!A:C,2,FALSE)</f>
        <v>0</v>
      </c>
      <c r="AC49" s="124">
        <f t="shared" si="5"/>
        <v>2</v>
      </c>
      <c r="AD49" s="123">
        <f t="shared" si="6"/>
        <v>1</v>
      </c>
      <c r="AE49" s="123">
        <f t="shared" si="7"/>
        <v>0</v>
      </c>
    </row>
    <row r="50" spans="1:31" x14ac:dyDescent="0.25">
      <c r="A50" s="137">
        <v>2022</v>
      </c>
      <c r="B50" s="137">
        <v>6</v>
      </c>
      <c r="C50" s="136" t="s">
        <v>681</v>
      </c>
      <c r="D50" t="s">
        <v>285</v>
      </c>
      <c r="E50" t="s">
        <v>79</v>
      </c>
      <c r="F50" s="132" t="str">
        <f>VLOOKUP(D50,LConferencias!A:B,2,FALSE)</f>
        <v>B1</v>
      </c>
      <c r="G50" s="132">
        <f>VLOOKUP(D50,LConferencias!A:C,3,TRUE)</f>
        <v>1</v>
      </c>
      <c r="H50" s="132">
        <f>VLOOKUP(D50,LConferencias!A:D,4,TRUE)</f>
        <v>0</v>
      </c>
      <c r="I50" s="132">
        <f t="shared" si="8"/>
        <v>1</v>
      </c>
      <c r="W50" s="92">
        <v>1</v>
      </c>
      <c r="AB50" s="123">
        <f>VLOOKUP(F50,Tabelas!A:C,2,FALSE)</f>
        <v>0.5</v>
      </c>
      <c r="AC50" s="124">
        <f t="shared" si="5"/>
        <v>1</v>
      </c>
      <c r="AD50" s="123">
        <f t="shared" si="6"/>
        <v>1</v>
      </c>
      <c r="AE50" s="123">
        <f t="shared" si="7"/>
        <v>0.55000000000000004</v>
      </c>
    </row>
    <row r="51" spans="1:31" x14ac:dyDescent="0.25">
      <c r="A51" s="137">
        <v>2022</v>
      </c>
      <c r="B51" s="137">
        <v>7</v>
      </c>
      <c r="C51" s="136" t="s">
        <v>682</v>
      </c>
      <c r="D51" t="s">
        <v>285</v>
      </c>
      <c r="E51" t="s">
        <v>604</v>
      </c>
      <c r="F51" s="132" t="str">
        <f>VLOOKUP(D51,LConferencias!A:B,2,FALSE)</f>
        <v>B1</v>
      </c>
      <c r="G51" s="132">
        <f>VLOOKUP(D51,LConferencias!A:C,3,TRUE)</f>
        <v>1</v>
      </c>
      <c r="H51" s="132">
        <f>VLOOKUP(D51,LConferencias!A:D,4,TRUE)</f>
        <v>0</v>
      </c>
      <c r="I51" s="132">
        <f t="shared" si="8"/>
        <v>1</v>
      </c>
      <c r="O51" s="92">
        <v>1</v>
      </c>
      <c r="W51" s="92">
        <v>1</v>
      </c>
      <c r="AB51" s="123">
        <f>VLOOKUP(F51,Tabelas!A:C,2,FALSE)</f>
        <v>0.5</v>
      </c>
      <c r="AC51" s="124">
        <f t="shared" si="5"/>
        <v>2</v>
      </c>
      <c r="AD51" s="123">
        <f t="shared" si="6"/>
        <v>1</v>
      </c>
      <c r="AE51" s="123">
        <f t="shared" si="7"/>
        <v>0.55000000000000004</v>
      </c>
    </row>
    <row r="52" spans="1:31" x14ac:dyDescent="0.25">
      <c r="A52" s="137">
        <v>2022</v>
      </c>
      <c r="B52" s="137">
        <v>8</v>
      </c>
      <c r="C52" s="136" t="s">
        <v>683</v>
      </c>
      <c r="D52" t="s">
        <v>149</v>
      </c>
      <c r="F52" s="132" t="str">
        <f>VLOOKUP(D52,LConferencias!A:B,2,FALSE)</f>
        <v>NI</v>
      </c>
      <c r="G52" s="132">
        <f>VLOOKUP(D52,LConferencias!A:C,3,TRUE)</f>
        <v>0</v>
      </c>
      <c r="H52" s="132">
        <f>VLOOKUP(D52,LConferencias!A:D,4,TRUE)</f>
        <v>0</v>
      </c>
      <c r="I52" s="132">
        <f t="shared" si="8"/>
        <v>0</v>
      </c>
      <c r="Y52" s="92">
        <v>1</v>
      </c>
      <c r="AB52" s="123">
        <f>VLOOKUP(F52,Tabelas!A:C,2,FALSE)</f>
        <v>0</v>
      </c>
      <c r="AC52" s="124">
        <f t="shared" si="5"/>
        <v>1</v>
      </c>
      <c r="AD52" s="123">
        <f t="shared" si="6"/>
        <v>1</v>
      </c>
      <c r="AE52" s="123">
        <f t="shared" si="7"/>
        <v>0</v>
      </c>
    </row>
    <row r="53" spans="1:31" x14ac:dyDescent="0.25">
      <c r="A53" s="137">
        <v>2022</v>
      </c>
      <c r="B53" s="137">
        <v>9</v>
      </c>
      <c r="C53" s="136" t="s">
        <v>165</v>
      </c>
      <c r="D53" s="82" t="s">
        <v>101</v>
      </c>
      <c r="F53" s="132" t="str">
        <f>VLOOKUP(D53,LConferencias!A:B,2,FALSE)</f>
        <v>A4</v>
      </c>
      <c r="G53" s="132">
        <f>VLOOKUP(D53,LConferencias!A:C,3,TRUE)</f>
        <v>1</v>
      </c>
      <c r="H53" s="132">
        <f>VLOOKUP(D53,LConferencias!A:D,4,TRUE)</f>
        <v>1</v>
      </c>
      <c r="I53" s="132">
        <f t="shared" si="8"/>
        <v>0</v>
      </c>
      <c r="J53" s="71"/>
      <c r="S53" s="92">
        <v>1</v>
      </c>
      <c r="AB53" s="123">
        <f>VLOOKUP(F53,Tabelas!A:C,2,FALSE)</f>
        <v>0.625</v>
      </c>
      <c r="AC53" s="124">
        <f t="shared" si="5"/>
        <v>1</v>
      </c>
      <c r="AD53" s="123">
        <f t="shared" si="6"/>
        <v>1</v>
      </c>
      <c r="AE53" s="123">
        <f t="shared" si="7"/>
        <v>0.625</v>
      </c>
    </row>
    <row r="54" spans="1:31" x14ac:dyDescent="0.25">
      <c r="A54" s="137">
        <v>2022</v>
      </c>
      <c r="B54" s="137">
        <v>10</v>
      </c>
      <c r="C54" s="136" t="s">
        <v>684</v>
      </c>
      <c r="D54" t="s">
        <v>81</v>
      </c>
      <c r="E54" t="s">
        <v>91</v>
      </c>
      <c r="F54" s="132" t="str">
        <f>VLOOKUP(D54,LConferencias!A:B,2,FALSE)</f>
        <v>A4</v>
      </c>
      <c r="G54" s="132">
        <f>VLOOKUP(D54,LConferencias!A:C,3,TRUE)</f>
        <v>1</v>
      </c>
      <c r="H54" s="132">
        <f>VLOOKUP(D54,LConferencias!A:D,4,TRUE)</f>
        <v>1</v>
      </c>
      <c r="I54" s="132">
        <f t="shared" si="8"/>
        <v>1</v>
      </c>
      <c r="O54" s="92">
        <v>1</v>
      </c>
      <c r="P54" s="92">
        <v>1</v>
      </c>
      <c r="AB54" s="123">
        <f>VLOOKUP(F54,Tabelas!A:C,2,FALSE)</f>
        <v>0.625</v>
      </c>
      <c r="AC54" s="124">
        <f t="shared" si="5"/>
        <v>2</v>
      </c>
      <c r="AD54" s="123">
        <f t="shared" si="6"/>
        <v>1</v>
      </c>
      <c r="AE54" s="123">
        <f t="shared" si="7"/>
        <v>0.6875</v>
      </c>
    </row>
    <row r="55" spans="1:31" x14ac:dyDescent="0.25">
      <c r="A55" s="137">
        <v>2022</v>
      </c>
      <c r="B55" s="137">
        <v>11</v>
      </c>
      <c r="C55" s="136" t="s">
        <v>166</v>
      </c>
      <c r="D55" t="s">
        <v>70</v>
      </c>
      <c r="E55" t="s">
        <v>167</v>
      </c>
      <c r="F55" s="132" t="str">
        <f>VLOOKUP(D55,LConferencias!A:B,2,FALSE)</f>
        <v>A1</v>
      </c>
      <c r="G55" s="132">
        <f>VLOOKUP(D55,LConferencias!A:C,3,TRUE)</f>
        <v>1</v>
      </c>
      <c r="H55" s="132">
        <f>VLOOKUP(D55,LConferencias!A:D,4,TRUE)</f>
        <v>1</v>
      </c>
      <c r="I55" s="132">
        <f t="shared" si="8"/>
        <v>1</v>
      </c>
      <c r="J55" s="71"/>
      <c r="O55" s="92">
        <v>1</v>
      </c>
      <c r="Y55" s="92">
        <v>1</v>
      </c>
      <c r="AB55" s="123">
        <f>VLOOKUP(F55,Tabelas!A:C,2,FALSE)</f>
        <v>1</v>
      </c>
      <c r="AC55" s="124">
        <f t="shared" si="5"/>
        <v>2</v>
      </c>
      <c r="AD55" s="123">
        <f t="shared" si="6"/>
        <v>1</v>
      </c>
      <c r="AE55" s="123">
        <f t="shared" si="7"/>
        <v>1.1000000000000001</v>
      </c>
    </row>
    <row r="56" spans="1:31" x14ac:dyDescent="0.25">
      <c r="A56" s="137">
        <v>2022</v>
      </c>
      <c r="B56" s="137">
        <v>12</v>
      </c>
      <c r="C56" s="136" t="s">
        <v>168</v>
      </c>
      <c r="D56" t="s">
        <v>169</v>
      </c>
      <c r="E56" t="s">
        <v>127</v>
      </c>
      <c r="F56" s="132" t="str">
        <f>VLOOKUP(D56,LConferencias!A:B,2,FALSE)</f>
        <v>A2</v>
      </c>
      <c r="G56" s="132">
        <f>VLOOKUP(D56,LConferencias!A:C,3,TRUE)</f>
        <v>1</v>
      </c>
      <c r="H56" s="132">
        <f>VLOOKUP(D56,LConferencias!A:D,4,TRUE)</f>
        <v>1</v>
      </c>
      <c r="I56" s="132">
        <f t="shared" si="8"/>
        <v>1</v>
      </c>
      <c r="J56" s="71"/>
      <c r="P56" s="92">
        <v>1</v>
      </c>
      <c r="Z56" s="92">
        <v>1</v>
      </c>
      <c r="AB56" s="123">
        <f>VLOOKUP(F56,Tabelas!A:C,2,FALSE)</f>
        <v>0.875</v>
      </c>
      <c r="AC56" s="124">
        <f t="shared" si="5"/>
        <v>2</v>
      </c>
      <c r="AD56" s="123">
        <f t="shared" si="6"/>
        <v>1</v>
      </c>
      <c r="AE56" s="123">
        <f t="shared" si="7"/>
        <v>0.96250000000000013</v>
      </c>
    </row>
    <row r="57" spans="1:31" x14ac:dyDescent="0.25">
      <c r="A57" s="137">
        <v>2022</v>
      </c>
      <c r="B57" s="137">
        <v>13</v>
      </c>
      <c r="C57" s="136" t="s">
        <v>685</v>
      </c>
      <c r="D57" t="s">
        <v>81</v>
      </c>
      <c r="E57" t="s">
        <v>686</v>
      </c>
      <c r="F57" s="132" t="str">
        <f>VLOOKUP(D57,LConferencias!A:B,2,FALSE)</f>
        <v>A4</v>
      </c>
      <c r="G57" s="132">
        <f>VLOOKUP(D57,LConferencias!A:C,3,TRUE)</f>
        <v>1</v>
      </c>
      <c r="H57" s="132">
        <f>VLOOKUP(D57,LConferencias!A:D,4,TRUE)</f>
        <v>1</v>
      </c>
      <c r="I57" s="132">
        <f t="shared" si="8"/>
        <v>1</v>
      </c>
      <c r="P57" s="92">
        <v>1</v>
      </c>
      <c r="Z57" s="92">
        <v>1</v>
      </c>
      <c r="AB57" s="123">
        <f>VLOOKUP(F57,Tabelas!A:C,2,FALSE)</f>
        <v>0.625</v>
      </c>
      <c r="AC57" s="124">
        <f t="shared" si="5"/>
        <v>2</v>
      </c>
      <c r="AD57" s="123">
        <f t="shared" si="6"/>
        <v>1</v>
      </c>
      <c r="AE57" s="123">
        <f t="shared" si="7"/>
        <v>0.6875</v>
      </c>
    </row>
    <row r="58" spans="1:31" x14ac:dyDescent="0.25">
      <c r="A58" s="137">
        <v>2022</v>
      </c>
      <c r="B58" s="137">
        <v>14</v>
      </c>
      <c r="C58" s="136" t="s">
        <v>687</v>
      </c>
      <c r="D58" t="s">
        <v>688</v>
      </c>
      <c r="E58" t="s">
        <v>689</v>
      </c>
      <c r="F58" s="132" t="str">
        <f>VLOOKUP(D58,LConferencias!A:B,2,FALSE)</f>
        <v>NI</v>
      </c>
      <c r="G58" s="132">
        <f>VLOOKUP(D58,LConferencias!A:C,3,TRUE)</f>
        <v>1</v>
      </c>
      <c r="H58" s="132">
        <f>VLOOKUP(D58,LConferencias!A:D,4,TRUE)</f>
        <v>1</v>
      </c>
      <c r="I58" s="132">
        <f t="shared" si="8"/>
        <v>1</v>
      </c>
      <c r="K58" s="92">
        <v>1</v>
      </c>
      <c r="L58" s="92">
        <v>1</v>
      </c>
      <c r="N58" s="92">
        <v>1</v>
      </c>
      <c r="AB58" s="123">
        <f>VLOOKUP(F58,Tabelas!A:C,2,FALSE)</f>
        <v>0</v>
      </c>
      <c r="AC58" s="124">
        <f t="shared" si="5"/>
        <v>3</v>
      </c>
      <c r="AD58" s="123">
        <f t="shared" si="6"/>
        <v>0.69897000433601875</v>
      </c>
      <c r="AE58" s="123">
        <f t="shared" si="7"/>
        <v>0</v>
      </c>
    </row>
    <row r="59" spans="1:31" x14ac:dyDescent="0.25">
      <c r="A59" s="137">
        <v>2022</v>
      </c>
      <c r="B59" s="137">
        <v>15</v>
      </c>
      <c r="C59" s="136" t="s">
        <v>690</v>
      </c>
      <c r="D59" t="s">
        <v>95</v>
      </c>
      <c r="E59" t="s">
        <v>93</v>
      </c>
      <c r="F59" s="132" t="str">
        <f>VLOOKUP(D59,LConferencias!A:B,2,FALSE)</f>
        <v>A3</v>
      </c>
      <c r="G59" s="132">
        <f>VLOOKUP(D59,LConferencias!A:C,3,TRUE)</f>
        <v>1</v>
      </c>
      <c r="H59" s="132">
        <f>VLOOKUP(D59,LConferencias!A:D,4,TRUE)</f>
        <v>1</v>
      </c>
      <c r="I59" s="132">
        <f t="shared" si="8"/>
        <v>1</v>
      </c>
      <c r="P59" s="92">
        <v>1</v>
      </c>
      <c r="U59" s="92">
        <v>1</v>
      </c>
      <c r="AB59" s="123">
        <f>VLOOKUP(F59,Tabelas!A:C,2,FALSE)</f>
        <v>0.75</v>
      </c>
      <c r="AC59" s="124">
        <f t="shared" si="5"/>
        <v>2</v>
      </c>
      <c r="AD59" s="123">
        <f t="shared" si="6"/>
        <v>1</v>
      </c>
      <c r="AE59" s="123">
        <f t="shared" si="7"/>
        <v>0.82500000000000007</v>
      </c>
    </row>
    <row r="60" spans="1:31" x14ac:dyDescent="0.25">
      <c r="A60" s="137">
        <v>2022</v>
      </c>
      <c r="B60" s="137">
        <v>16</v>
      </c>
      <c r="C60" s="136" t="s">
        <v>691</v>
      </c>
      <c r="D60" s="136" t="s">
        <v>688</v>
      </c>
      <c r="F60" s="132" t="str">
        <f>VLOOKUP(D60,LConferencias!A:B,2,FALSE)</f>
        <v>NI</v>
      </c>
      <c r="G60" s="132">
        <f>VLOOKUP(D60,LConferencias!A:C,3,TRUE)</f>
        <v>1</v>
      </c>
      <c r="H60" s="132">
        <f>VLOOKUP(D60,LConferencias!A:D,4,TRUE)</f>
        <v>1</v>
      </c>
      <c r="I60" s="132">
        <f t="shared" si="8"/>
        <v>0</v>
      </c>
      <c r="L60" s="92">
        <v>1</v>
      </c>
      <c r="AB60" s="123">
        <f>VLOOKUP(F60,Tabelas!A:C,2,FALSE)</f>
        <v>0</v>
      </c>
      <c r="AC60" s="124">
        <f t="shared" si="5"/>
        <v>1</v>
      </c>
      <c r="AD60" s="123">
        <f t="shared" si="6"/>
        <v>1</v>
      </c>
      <c r="AE60" s="123">
        <f t="shared" si="7"/>
        <v>0</v>
      </c>
    </row>
    <row r="61" spans="1:31" x14ac:dyDescent="0.25">
      <c r="A61" s="137">
        <v>2022</v>
      </c>
      <c r="B61" s="137">
        <v>17</v>
      </c>
      <c r="C61" s="136" t="s">
        <v>174</v>
      </c>
      <c r="D61" s="136" t="s">
        <v>67</v>
      </c>
      <c r="E61" t="s">
        <v>68</v>
      </c>
      <c r="F61" s="132" t="str">
        <f>VLOOKUP(D61,LConferencias!A:B,2,FALSE)</f>
        <v>NI</v>
      </c>
      <c r="G61" s="132">
        <f>VLOOKUP(D61,LConferencias!A:C,3,TRUE)</f>
        <v>0</v>
      </c>
      <c r="H61" s="132">
        <f>VLOOKUP(D61,LConferencias!A:D,4,TRUE)</f>
        <v>0</v>
      </c>
      <c r="I61" s="132">
        <f t="shared" si="8"/>
        <v>1</v>
      </c>
      <c r="J61" s="71"/>
      <c r="O61" s="92">
        <v>1</v>
      </c>
      <c r="Y61" s="92">
        <v>1</v>
      </c>
      <c r="AB61" s="123">
        <f>VLOOKUP(F61,Tabelas!A:C,2,FALSE)</f>
        <v>0</v>
      </c>
      <c r="AC61" s="124">
        <f t="shared" si="5"/>
        <v>2</v>
      </c>
      <c r="AD61" s="123">
        <f t="shared" si="6"/>
        <v>1</v>
      </c>
      <c r="AE61" s="123">
        <f t="shared" si="7"/>
        <v>0</v>
      </c>
    </row>
    <row r="62" spans="1:31" x14ac:dyDescent="0.25">
      <c r="A62" s="137">
        <v>2022</v>
      </c>
      <c r="B62" s="137">
        <v>18</v>
      </c>
      <c r="C62" s="136" t="s">
        <v>170</v>
      </c>
      <c r="D62" t="s">
        <v>70</v>
      </c>
      <c r="E62" t="s">
        <v>68</v>
      </c>
      <c r="F62" s="132" t="str">
        <f>VLOOKUP(D62,LConferencias!A:B,2,FALSE)</f>
        <v>A1</v>
      </c>
      <c r="G62" s="132">
        <f>VLOOKUP(D62,LConferencias!A:C,3,TRUE)</f>
        <v>1</v>
      </c>
      <c r="H62" s="132">
        <f>VLOOKUP(D62,LConferencias!A:D,4,TRUE)</f>
        <v>1</v>
      </c>
      <c r="I62" s="132">
        <f t="shared" si="8"/>
        <v>1</v>
      </c>
      <c r="J62" s="71"/>
      <c r="Y62" s="92">
        <v>1</v>
      </c>
      <c r="AB62" s="123">
        <f>VLOOKUP(F62,Tabelas!A:C,2,FALSE)</f>
        <v>1</v>
      </c>
      <c r="AC62" s="124">
        <f t="shared" si="5"/>
        <v>1</v>
      </c>
      <c r="AD62" s="123">
        <f t="shared" si="6"/>
        <v>1</v>
      </c>
      <c r="AE62" s="123">
        <f t="shared" si="7"/>
        <v>1.1000000000000001</v>
      </c>
    </row>
    <row r="63" spans="1:31" x14ac:dyDescent="0.25">
      <c r="A63" s="137">
        <v>2022</v>
      </c>
      <c r="B63" s="137">
        <v>19</v>
      </c>
      <c r="C63" s="136" t="s">
        <v>171</v>
      </c>
      <c r="D63" s="82" t="s">
        <v>169</v>
      </c>
      <c r="E63" t="s">
        <v>172</v>
      </c>
      <c r="F63" s="132" t="str">
        <f>VLOOKUP(D63,LConferencias!A:B,2,FALSE)</f>
        <v>A2</v>
      </c>
      <c r="G63" s="132">
        <f>VLOOKUP(D63,LConferencias!A:C,3,TRUE)</f>
        <v>1</v>
      </c>
      <c r="H63" s="132">
        <f>VLOOKUP(D63,LConferencias!A:D,4,TRUE)</f>
        <v>1</v>
      </c>
      <c r="I63" s="132">
        <f t="shared" si="8"/>
        <v>1</v>
      </c>
      <c r="J63" s="71"/>
      <c r="O63" s="92">
        <v>1</v>
      </c>
      <c r="P63" s="92">
        <v>1</v>
      </c>
      <c r="V63" s="92">
        <v>1</v>
      </c>
      <c r="Y63" s="92">
        <v>1</v>
      </c>
      <c r="AB63" s="123">
        <f>VLOOKUP(F63,Tabelas!A:C,2,FALSE)</f>
        <v>0.875</v>
      </c>
      <c r="AC63" s="124">
        <f t="shared" si="5"/>
        <v>4</v>
      </c>
      <c r="AD63" s="123">
        <f t="shared" si="6"/>
        <v>0.52287874528033762</v>
      </c>
      <c r="AE63" s="123">
        <f t="shared" si="7"/>
        <v>0.50327079233232508</v>
      </c>
    </row>
    <row r="64" spans="1:31" x14ac:dyDescent="0.25">
      <c r="A64" s="137">
        <v>2022</v>
      </c>
      <c r="B64" s="137">
        <v>20</v>
      </c>
      <c r="C64" s="136" t="s">
        <v>692</v>
      </c>
      <c r="D64" t="s">
        <v>116</v>
      </c>
      <c r="E64" t="s">
        <v>159</v>
      </c>
      <c r="F64" s="132" t="str">
        <f>VLOOKUP(D64,LConferencias!A:B,2,FALSE)</f>
        <v>A4</v>
      </c>
      <c r="G64" s="132">
        <f>VLOOKUP(D64,LConferencias!A:C,3,TRUE)</f>
        <v>1</v>
      </c>
      <c r="H64" s="132">
        <f>VLOOKUP(D64,LConferencias!A:D,4,TRUE)</f>
        <v>1</v>
      </c>
      <c r="I64" s="132">
        <f t="shared" si="8"/>
        <v>1</v>
      </c>
      <c r="L64" s="92">
        <v>1</v>
      </c>
      <c r="U64" s="92">
        <v>1</v>
      </c>
      <c r="AB64" s="123">
        <f>VLOOKUP(F64,Tabelas!A:C,2,FALSE)</f>
        <v>0.625</v>
      </c>
      <c r="AC64" s="124">
        <f t="shared" si="5"/>
        <v>2</v>
      </c>
      <c r="AD64" s="123">
        <f t="shared" si="6"/>
        <v>1</v>
      </c>
      <c r="AE64" s="123">
        <f t="shared" si="7"/>
        <v>0.6875</v>
      </c>
    </row>
    <row r="65" spans="1:31" x14ac:dyDescent="0.25">
      <c r="A65" s="137">
        <v>2022</v>
      </c>
      <c r="B65" s="137">
        <v>21</v>
      </c>
      <c r="C65" s="136" t="s">
        <v>693</v>
      </c>
      <c r="D65" t="s">
        <v>87</v>
      </c>
      <c r="F65" s="132" t="str">
        <f>VLOOKUP(D65,LConferencias!A:B,2,FALSE)</f>
        <v>B4</v>
      </c>
      <c r="G65" s="132">
        <f>VLOOKUP(D65,LConferencias!A:C,3,TRUE)</f>
        <v>1</v>
      </c>
      <c r="H65" s="132">
        <f>VLOOKUP(D65,LConferencias!A:D,4,TRUE)</f>
        <v>0</v>
      </c>
      <c r="I65" s="132">
        <f t="shared" si="8"/>
        <v>0</v>
      </c>
      <c r="Q65" s="92">
        <v>1</v>
      </c>
      <c r="S65" s="92">
        <v>1</v>
      </c>
      <c r="AB65" s="123">
        <f>VLOOKUP(F65,Tabelas!A:C,2,FALSE)</f>
        <v>0.05</v>
      </c>
      <c r="AC65" s="124">
        <f t="shared" si="5"/>
        <v>2</v>
      </c>
      <c r="AD65" s="123">
        <f t="shared" si="6"/>
        <v>1</v>
      </c>
      <c r="AE65" s="123">
        <f t="shared" si="7"/>
        <v>0.05</v>
      </c>
    </row>
    <row r="66" spans="1:31" x14ac:dyDescent="0.25">
      <c r="A66" s="137">
        <v>2022</v>
      </c>
      <c r="B66" s="137">
        <v>22</v>
      </c>
      <c r="C66" s="136" t="s">
        <v>173</v>
      </c>
      <c r="D66" t="s">
        <v>75</v>
      </c>
      <c r="F66" s="132" t="str">
        <f>VLOOKUP(D66,LConferencias!A:B,2,FALSE)</f>
        <v>B3</v>
      </c>
      <c r="G66" s="132">
        <f>VLOOKUP(D66,LConferencias!A:C,3,TRUE)</f>
        <v>1</v>
      </c>
      <c r="H66" s="132">
        <f>VLOOKUP(D66,LConferencias!A:D,4,TRUE)</f>
        <v>0</v>
      </c>
      <c r="I66" s="132">
        <f t="shared" si="8"/>
        <v>0</v>
      </c>
      <c r="J66" s="71"/>
      <c r="Q66" s="92">
        <v>1</v>
      </c>
      <c r="AB66" s="123">
        <f>VLOOKUP(F66,Tabelas!A:C,2,FALSE)</f>
        <v>0.1</v>
      </c>
      <c r="AC66" s="124">
        <f t="shared" si="5"/>
        <v>1</v>
      </c>
      <c r="AD66" s="123">
        <f t="shared" ref="AD66:AD97" si="9">IF(AC66&lt;=2,1,1-LOG(AC66-1))</f>
        <v>1</v>
      </c>
      <c r="AE66" s="123">
        <f t="shared" ref="AE66:AE97" si="10">AB66*IF(I66&gt;0,1.1,1)*AD66</f>
        <v>0.1</v>
      </c>
    </row>
    <row r="67" spans="1:31" x14ac:dyDescent="0.25">
      <c r="A67" s="137">
        <v>2022</v>
      </c>
      <c r="B67" s="137">
        <v>23</v>
      </c>
      <c r="C67" s="136" t="s">
        <v>694</v>
      </c>
      <c r="D67" t="s">
        <v>81</v>
      </c>
      <c r="F67" s="132" t="str">
        <f>VLOOKUP(D67,LConferencias!A:B,2,FALSE)</f>
        <v>A4</v>
      </c>
      <c r="G67" s="132">
        <f>VLOOKUP(D67,LConferencias!A:C,3,TRUE)</f>
        <v>1</v>
      </c>
      <c r="H67" s="132">
        <f>VLOOKUP(D67,LConferencias!A:D,4,TRUE)</f>
        <v>1</v>
      </c>
      <c r="I67" s="132">
        <f t="shared" si="8"/>
        <v>0</v>
      </c>
      <c r="P67" s="92">
        <v>1</v>
      </c>
      <c r="AB67" s="123">
        <f>VLOOKUP(F67,Tabelas!A:C,2,FALSE)</f>
        <v>0.625</v>
      </c>
      <c r="AC67" s="124">
        <f t="shared" si="5"/>
        <v>1</v>
      </c>
      <c r="AD67" s="123">
        <f t="shared" si="9"/>
        <v>1</v>
      </c>
      <c r="AE67" s="123">
        <f t="shared" si="10"/>
        <v>0.625</v>
      </c>
    </row>
    <row r="68" spans="1:31" x14ac:dyDescent="0.25">
      <c r="D68" s="82"/>
      <c r="E68" s="8"/>
      <c r="G68" s="132"/>
      <c r="H68" s="132"/>
      <c r="I68" s="132"/>
      <c r="J68" s="71"/>
      <c r="AD68" s="123"/>
    </row>
  </sheetData>
  <autoFilter ref="A1:AE55" xr:uid="{037A1489-51C9-4ED9-96F8-57A18E9712C6}">
    <sortState xmlns:xlrd2="http://schemas.microsoft.com/office/spreadsheetml/2017/richdata2" ref="A2:AE67">
      <sortCondition ref="A1:A67"/>
    </sortState>
  </autoFilter>
  <sortState xmlns:xlrd2="http://schemas.microsoft.com/office/spreadsheetml/2017/richdata2" ref="A2:I34">
    <sortCondition ref="C1:C34"/>
  </sortState>
  <customSheetViews>
    <customSheetView guid="{72A84248-7528-4641-93C6-9429A7C96A1B}" scale="75" showAutoFilter="1">
      <pane xSplit="2" ySplit="1" topLeftCell="C3" activePane="bottomRight" state="frozen"/>
      <selection pane="bottomRight" activeCell="Y5" sqref="Y5"/>
      <pageMargins left="0" right="0" top="0" bottom="0" header="0" footer="0"/>
      <pageSetup orientation="portrait" r:id="rId1"/>
      <autoFilter ref="AL1:AL101" xr:uid="{BC84DE6D-E6A6-4211-ACA5-376C1D0509F5}"/>
    </customSheetView>
    <customSheetView guid="{D17159D6-6700-6A49-8FAF-59B9A63C8B44}" scale="75">
      <pane xSplit="2" ySplit="1" topLeftCell="C2" activePane="bottomRight" state="frozenSplit"/>
      <selection pane="bottomRight" activeCell="Y2" sqref="Y2"/>
      <pageMargins left="0" right="0" top="0" bottom="0" header="0" footer="0"/>
      <pageSetup orientation="portrait" r:id="rId2"/>
    </customSheetView>
  </customSheetViews>
  <conditionalFormatting sqref="AD2:AE31 AB2:AB31">
    <cfRule type="cellIs" dxfId="13" priority="52" operator="equal">
      <formula>0</formula>
    </cfRule>
  </conditionalFormatting>
  <conditionalFormatting sqref="AD32:AE32 AB32">
    <cfRule type="cellIs" dxfId="12" priority="2" operator="equal">
      <formula>0</formula>
    </cfRule>
  </conditionalFormatting>
  <conditionalFormatting sqref="AB33:AB68 AD33:AE68">
    <cfRule type="cellIs" dxfId="11" priority="1" operator="equal">
      <formula>0</formula>
    </cfRule>
  </conditionalFormatting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6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defaultColWidth="11" defaultRowHeight="15.75" x14ac:dyDescent="0.25"/>
  <cols>
    <col min="1" max="1" width="6.125" style="71" bestFit="1" customWidth="1"/>
    <col min="2" max="2" width="7.375" style="71" bestFit="1" customWidth="1"/>
    <col min="3" max="3" width="105.125" customWidth="1"/>
    <col min="4" max="4" width="46.625" customWidth="1"/>
    <col min="5" max="5" width="33.625" bestFit="1" customWidth="1"/>
    <col min="6" max="6" width="8.125" style="126" bestFit="1" customWidth="1"/>
    <col min="7" max="7" width="6.875" style="126" bestFit="1" customWidth="1"/>
    <col min="8" max="8" width="9.625" style="126" bestFit="1" customWidth="1"/>
    <col min="9" max="9" width="4.625" style="126" bestFit="1" customWidth="1"/>
    <col min="10" max="10" width="1.625" customWidth="1"/>
    <col min="11" max="26" width="4.875" style="92" customWidth="1"/>
    <col min="27" max="27" width="1.625" customWidth="1"/>
    <col min="28" max="28" width="7.875" style="138" customWidth="1"/>
    <col min="29" max="29" width="5.625" style="126" customWidth="1"/>
    <col min="30" max="30" width="7.5" style="138" customWidth="1"/>
    <col min="31" max="31" width="7.625" style="138" customWidth="1"/>
  </cols>
  <sheetData>
    <row r="1" spans="1:38" s="88" customFormat="1" ht="105" customHeight="1" x14ac:dyDescent="0.25">
      <c r="A1" s="87" t="s">
        <v>55</v>
      </c>
      <c r="B1" s="87" t="s">
        <v>56</v>
      </c>
      <c r="C1" s="88" t="s">
        <v>57</v>
      </c>
      <c r="D1" s="88" t="s">
        <v>58</v>
      </c>
      <c r="E1" s="88" t="s">
        <v>59</v>
      </c>
      <c r="F1" s="125" t="s">
        <v>60</v>
      </c>
      <c r="G1" s="125" t="s">
        <v>61</v>
      </c>
      <c r="H1" s="125" t="s">
        <v>22</v>
      </c>
      <c r="I1" s="121" t="s">
        <v>62</v>
      </c>
      <c r="J1" s="87"/>
      <c r="K1" s="135" t="str">
        <f>Geral!B1</f>
        <v>Diego Haddad</v>
      </c>
      <c r="L1" s="135" t="str">
        <f>Geral!C1</f>
        <v>Diego Brandão</v>
      </c>
      <c r="M1" s="135" t="s">
        <v>3</v>
      </c>
      <c r="N1" s="135" t="str">
        <f>Geral!E1</f>
        <v>Douglas Cardoso</v>
      </c>
      <c r="O1" s="135" t="str">
        <f>Geral!F1</f>
        <v>Eduardo Bezerra</v>
      </c>
      <c r="P1" s="135" t="str">
        <f>Geral!G1</f>
        <v>Eduardo Ogasawara</v>
      </c>
      <c r="Q1" s="135" t="str">
        <f>Geral!H1</f>
        <v>Felipe Henriques</v>
      </c>
      <c r="R1" s="135" t="str">
        <f>Geral!I1</f>
        <v>Glauco Amorim</v>
      </c>
      <c r="S1" s="135" t="str">
        <f>Geral!J1</f>
        <v>Gustavo Guedes</v>
      </c>
      <c r="T1" s="135" t="str">
        <f>Geral!K1</f>
        <v xml:space="preserve">Joao Quadros </v>
      </c>
      <c r="U1" s="135" t="str">
        <f>Geral!L1</f>
        <v>Joel dos Santos</v>
      </c>
      <c r="V1" s="135" t="str">
        <f>Geral!M1</f>
        <v>Jorge Soares</v>
      </c>
      <c r="W1" s="135" t="str">
        <f>Geral!N1</f>
        <v>Kele Belloze</v>
      </c>
      <c r="X1" s="135" t="str">
        <f>Geral!O1</f>
        <v>Laura de Assis</v>
      </c>
      <c r="Y1" s="135" t="str">
        <f>Geral!P1</f>
        <v>Pedro Gonzalez</v>
      </c>
      <c r="Z1" s="135" t="str">
        <f>Geral!Q1</f>
        <v>Rafaelli Coutinho</v>
      </c>
      <c r="AA1" s="87"/>
      <c r="AB1" s="121" t="s">
        <v>60</v>
      </c>
      <c r="AC1" s="122" t="s">
        <v>63</v>
      </c>
      <c r="AD1" s="121" t="s">
        <v>64</v>
      </c>
      <c r="AE1" s="121" t="s">
        <v>65</v>
      </c>
    </row>
    <row r="2" spans="1:38" s="72" customFormat="1" ht="16.5" x14ac:dyDescent="0.3">
      <c r="A2" s="71">
        <v>2021</v>
      </c>
      <c r="B2" s="71">
        <v>1</v>
      </c>
      <c r="C2" t="s">
        <v>201</v>
      </c>
      <c r="D2" t="s">
        <v>202</v>
      </c>
      <c r="E2"/>
      <c r="F2" s="126" t="str">
        <f>VLOOKUP(D2,LPeriodicos!A:B,2,FALSE)</f>
        <v>B1</v>
      </c>
      <c r="G2" s="126">
        <f>VLOOKUP(D2,LPeriodicos!A:C,3,TRUE)</f>
        <v>0</v>
      </c>
      <c r="H2" s="126">
        <f>VLOOKUP(D2,LPeriodicos!A:D,4,TRUE)</f>
        <v>0</v>
      </c>
      <c r="I2" s="126">
        <f t="shared" ref="I2:I7" si="0">IF(E2&lt;&gt;"",1,0)</f>
        <v>0</v>
      </c>
      <c r="J2"/>
      <c r="K2" s="92"/>
      <c r="L2" s="92">
        <v>1</v>
      </c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/>
      <c r="AB2" s="138">
        <f>VLOOKUP(F2,Tabelas!A:C,2,FALSE)</f>
        <v>0.5</v>
      </c>
      <c r="AC2" s="139">
        <f t="shared" ref="AC2:AC7" si="1">SUM(K2:Z2)</f>
        <v>1</v>
      </c>
      <c r="AD2" s="138">
        <f t="shared" ref="AD2:AD7" si="2">IF(AC2&lt;=2,1,1-LOG(AC2-1))</f>
        <v>1</v>
      </c>
      <c r="AE2" s="138">
        <f>VLOOKUP(D2,LPeriodicos!A:E,5,TRUE)*IF(I2&gt;0,1.1,1)*AD2</f>
        <v>0.5</v>
      </c>
      <c r="AF2"/>
    </row>
    <row r="3" spans="1:38" ht="16.5" customHeight="1" x14ac:dyDescent="0.3">
      <c r="A3" s="71">
        <v>2021</v>
      </c>
      <c r="B3" s="71">
        <v>2</v>
      </c>
      <c r="C3" t="s">
        <v>219</v>
      </c>
      <c r="D3" t="s">
        <v>220</v>
      </c>
      <c r="E3" t="s">
        <v>91</v>
      </c>
      <c r="F3" s="126" t="str">
        <f>VLOOKUP(D3,LPeriodicos!A:B,2,FALSE)</f>
        <v>B1</v>
      </c>
      <c r="G3" s="126">
        <f>VLOOKUP(D3,LPeriodicos!A:C,3,TRUE)</f>
        <v>0</v>
      </c>
      <c r="H3" s="126">
        <f>VLOOKUP(D3,LPeriodicos!A:D,4,TRUE)</f>
        <v>0</v>
      </c>
      <c r="I3" s="126">
        <f t="shared" si="0"/>
        <v>1</v>
      </c>
      <c r="P3" s="92">
        <v>1</v>
      </c>
      <c r="AB3" s="138">
        <f>VLOOKUP(F3,Tabelas!A:C,2,FALSE)</f>
        <v>0.5</v>
      </c>
      <c r="AC3" s="139">
        <f t="shared" si="1"/>
        <v>1</v>
      </c>
      <c r="AD3" s="138">
        <f t="shared" si="2"/>
        <v>1</v>
      </c>
      <c r="AE3" s="138">
        <f>VLOOKUP(D3,LPeriodicos!A:E,5,TRUE)*IF(I3&gt;0,1.1,1)*AD3</f>
        <v>0.55000000000000004</v>
      </c>
    </row>
    <row r="4" spans="1:38" ht="16.5" x14ac:dyDescent="0.3">
      <c r="A4" s="71">
        <v>2021</v>
      </c>
      <c r="B4" s="71">
        <v>3</v>
      </c>
      <c r="C4" t="s">
        <v>221</v>
      </c>
      <c r="D4" t="s">
        <v>222</v>
      </c>
      <c r="F4" s="126" t="str">
        <f>VLOOKUP(D4,LPeriodicos!A:B,2,FALSE)</f>
        <v>A1</v>
      </c>
      <c r="G4" s="126">
        <f>VLOOKUP(D4,LPeriodicos!A:C,3,TRUE)</f>
        <v>1</v>
      </c>
      <c r="H4" s="126">
        <f>VLOOKUP(D4,LPeriodicos!A:D,4,TRUE)</f>
        <v>1</v>
      </c>
      <c r="I4" s="126">
        <f t="shared" si="0"/>
        <v>0</v>
      </c>
      <c r="K4" s="92">
        <v>1</v>
      </c>
      <c r="AB4" s="138">
        <f>VLOOKUP(F4,Tabelas!A:C,2,FALSE)</f>
        <v>1</v>
      </c>
      <c r="AC4" s="139">
        <f t="shared" si="1"/>
        <v>1</v>
      </c>
      <c r="AD4" s="138">
        <f t="shared" si="2"/>
        <v>1</v>
      </c>
      <c r="AE4" s="138">
        <f>VLOOKUP(D4,LPeriodicos!A:E,5,TRUE)*IF(I4&gt;0,1.1,1)*AD4</f>
        <v>1</v>
      </c>
      <c r="AJ4" s="71"/>
    </row>
    <row r="5" spans="1:38" ht="16.5" x14ac:dyDescent="0.3">
      <c r="A5" s="71">
        <v>2021</v>
      </c>
      <c r="B5" s="71">
        <v>4</v>
      </c>
      <c r="C5" t="s">
        <v>212</v>
      </c>
      <c r="D5" t="s">
        <v>197</v>
      </c>
      <c r="F5" s="126" t="str">
        <f>VLOOKUP(D5,LPeriodicos!A:B,2,FALSE)</f>
        <v>B1</v>
      </c>
      <c r="G5" s="126">
        <f>VLOOKUP(D5,LPeriodicos!A:C,3,TRUE)</f>
        <v>1</v>
      </c>
      <c r="H5" s="126">
        <f>VLOOKUP(D5,LPeriodicos!A:D,4,TRUE)</f>
        <v>0</v>
      </c>
      <c r="I5" s="126">
        <f t="shared" si="0"/>
        <v>0</v>
      </c>
      <c r="Y5" s="92">
        <v>1</v>
      </c>
      <c r="AB5" s="138">
        <f>VLOOKUP(F5,Tabelas!A:C,2,FALSE)</f>
        <v>0.5</v>
      </c>
      <c r="AC5" s="139">
        <f t="shared" si="1"/>
        <v>1</v>
      </c>
      <c r="AD5" s="138">
        <f t="shared" si="2"/>
        <v>1</v>
      </c>
      <c r="AE5" s="138">
        <f>VLOOKUP(D5,LPeriodicos!A:E,5,TRUE)*IF(I5&gt;0,1.1,1)*AD5</f>
        <v>0.5</v>
      </c>
      <c r="AJ5" s="71"/>
    </row>
    <row r="6" spans="1:38" x14ac:dyDescent="0.25">
      <c r="A6" s="71">
        <v>2021</v>
      </c>
      <c r="B6" s="71">
        <v>5</v>
      </c>
      <c r="C6" t="s">
        <v>244</v>
      </c>
      <c r="D6" t="s">
        <v>245</v>
      </c>
      <c r="F6" s="126" t="str">
        <f>VLOOKUP(D6,LPeriodicos!A:B,2,FALSE)</f>
        <v>B2</v>
      </c>
      <c r="G6" s="126">
        <f>VLOOKUP(D6,LPeriodicos!A:C,3,TRUE)</f>
        <v>0</v>
      </c>
      <c r="H6" s="126">
        <f>VLOOKUP(D6,LPeriodicos!A:D,4,TRUE)</f>
        <v>0</v>
      </c>
      <c r="I6" s="126">
        <f t="shared" si="0"/>
        <v>0</v>
      </c>
      <c r="Q6" s="92">
        <v>1</v>
      </c>
      <c r="AB6" s="138">
        <f>VLOOKUP(F6,Tabelas!A:C,2,FALSE)</f>
        <v>0.2</v>
      </c>
      <c r="AC6" s="139">
        <f t="shared" si="1"/>
        <v>1</v>
      </c>
      <c r="AD6" s="138">
        <f t="shared" si="2"/>
        <v>1</v>
      </c>
      <c r="AE6" s="138">
        <f>VLOOKUP(D6,LPeriodicos!A:E,5,TRUE)*IF(I6&gt;0,1.1,1)*AD6</f>
        <v>0.2</v>
      </c>
      <c r="AJ6" s="71"/>
    </row>
    <row r="7" spans="1:38" x14ac:dyDescent="0.25">
      <c r="A7" s="71">
        <v>2021</v>
      </c>
      <c r="B7" s="71">
        <v>6</v>
      </c>
      <c r="C7" t="s">
        <v>241</v>
      </c>
      <c r="D7" t="s">
        <v>242</v>
      </c>
      <c r="E7" t="s">
        <v>243</v>
      </c>
      <c r="F7" s="126" t="str">
        <f>VLOOKUP(D7,LPeriodicos!A:B,2,FALSE)</f>
        <v>A1</v>
      </c>
      <c r="G7" s="126">
        <f>VLOOKUP(D7,LPeriodicos!A:C,3,TRUE)</f>
        <v>0</v>
      </c>
      <c r="H7" s="126">
        <f>VLOOKUP(D7,LPeriodicos!A:D,4,TRUE)</f>
        <v>1</v>
      </c>
      <c r="I7" s="126">
        <f t="shared" si="0"/>
        <v>1</v>
      </c>
      <c r="L7" s="92">
        <v>1</v>
      </c>
      <c r="P7" s="92">
        <v>1</v>
      </c>
      <c r="V7" s="92">
        <v>1</v>
      </c>
      <c r="AB7" s="138">
        <f>VLOOKUP(F7,Tabelas!A:C,2,FALSE)</f>
        <v>1</v>
      </c>
      <c r="AC7" s="139">
        <f t="shared" si="1"/>
        <v>3</v>
      </c>
      <c r="AD7" s="138">
        <f t="shared" si="2"/>
        <v>0.69897000433601875</v>
      </c>
      <c r="AE7" s="138">
        <f>VLOOKUP(D7,LPeriodicos!A:E,5,TRUE)*IF(I7&gt;0,1.1,1)*AD7</f>
        <v>0.76886700476962067</v>
      </c>
      <c r="AJ7" s="71"/>
    </row>
    <row r="8" spans="1:38" ht="16.5" x14ac:dyDescent="0.3">
      <c r="A8" s="128">
        <v>2021</v>
      </c>
      <c r="B8" s="128">
        <v>7</v>
      </c>
      <c r="C8" s="127" t="s">
        <v>226</v>
      </c>
      <c r="D8" s="127" t="s">
        <v>227</v>
      </c>
      <c r="E8" s="127" t="s">
        <v>228</v>
      </c>
      <c r="O8" s="92">
        <v>1</v>
      </c>
      <c r="P8" s="92">
        <v>1</v>
      </c>
      <c r="AC8" s="139"/>
      <c r="AJ8" s="71"/>
    </row>
    <row r="9" spans="1:38" ht="16.5" customHeight="1" x14ac:dyDescent="0.3">
      <c r="A9" s="71">
        <v>2021</v>
      </c>
      <c r="B9" s="71">
        <v>8</v>
      </c>
      <c r="C9" s="129" t="s">
        <v>199</v>
      </c>
      <c r="D9" t="s">
        <v>200</v>
      </c>
      <c r="F9" s="126" t="str">
        <f>VLOOKUP(D9,LPeriodicos!A:B,2,FALSE)</f>
        <v>A2</v>
      </c>
      <c r="G9" s="126">
        <f>VLOOKUP(D9,LPeriodicos!A:C,3,TRUE)</f>
        <v>1</v>
      </c>
      <c r="H9" s="126">
        <f>VLOOKUP(D9,LPeriodicos!A:D,4,TRUE)</f>
        <v>1</v>
      </c>
      <c r="I9" s="126">
        <f t="shared" ref="I9:I22" si="3">IF(E9&lt;&gt;"",1,0)</f>
        <v>0</v>
      </c>
      <c r="K9" s="92">
        <v>1</v>
      </c>
      <c r="AB9" s="138">
        <f>VLOOKUP(F9,Tabelas!A:C,2,FALSE)</f>
        <v>0.875</v>
      </c>
      <c r="AC9" s="139">
        <f t="shared" ref="AC9:AC45" si="4">SUM(K9:Z9)</f>
        <v>1</v>
      </c>
      <c r="AD9" s="138">
        <f t="shared" ref="AD9:AD45" si="5">IF(AC9&lt;=2,1,1-LOG(AC9-1))</f>
        <v>1</v>
      </c>
      <c r="AE9" s="138">
        <f>VLOOKUP(D9,LPeriodicos!A:E,5,TRUE)*IF(I9&gt;0,1.1,1)*AD9</f>
        <v>0.875</v>
      </c>
      <c r="AJ9" s="71"/>
    </row>
    <row r="10" spans="1:38" x14ac:dyDescent="0.25">
      <c r="A10" s="71">
        <v>2021</v>
      </c>
      <c r="B10" s="71">
        <v>9</v>
      </c>
      <c r="C10" t="s">
        <v>210</v>
      </c>
      <c r="D10" t="s">
        <v>211</v>
      </c>
      <c r="F10" s="126" t="str">
        <f>VLOOKUP(D10,LPeriodicos!A:B,2,FALSE)</f>
        <v>A1</v>
      </c>
      <c r="G10" s="126">
        <f>VLOOKUP(D10,LPeriodicos!A:C,3,TRUE)</f>
        <v>0</v>
      </c>
      <c r="H10" s="126">
        <f>VLOOKUP(D10,LPeriodicos!A:D,4,TRUE)</f>
        <v>1</v>
      </c>
      <c r="I10" s="126">
        <f t="shared" si="3"/>
        <v>0</v>
      </c>
      <c r="P10" s="92">
        <v>1</v>
      </c>
      <c r="AB10" s="138">
        <f>VLOOKUP(F10,Tabelas!A:C,2,FALSE)</f>
        <v>1</v>
      </c>
      <c r="AC10" s="139">
        <f t="shared" si="4"/>
        <v>1</v>
      </c>
      <c r="AD10" s="138">
        <f t="shared" si="5"/>
        <v>1</v>
      </c>
      <c r="AE10" s="138">
        <f>VLOOKUP(D10,LPeriodicos!A:E,5,TRUE)*IF(I10&gt;0,1.1,1)*AD10</f>
        <v>1</v>
      </c>
      <c r="AJ10" s="71"/>
    </row>
    <row r="11" spans="1:38" ht="16.5" x14ac:dyDescent="0.3">
      <c r="A11" s="71">
        <v>2021</v>
      </c>
      <c r="B11" s="71">
        <v>10</v>
      </c>
      <c r="C11" t="s">
        <v>205</v>
      </c>
      <c r="D11" t="s">
        <v>206</v>
      </c>
      <c r="E11" t="s">
        <v>207</v>
      </c>
      <c r="F11" s="126" t="str">
        <f>VLOOKUP(D11,LPeriodicos!A:B,2,FALSE)</f>
        <v>B1</v>
      </c>
      <c r="G11" s="126">
        <f>VLOOKUP(D11,LPeriodicos!A:C,3,TRUE)</f>
        <v>1</v>
      </c>
      <c r="H11" s="126">
        <f>VLOOKUP(D11,LPeriodicos!A:D,4,TRUE)</f>
        <v>0</v>
      </c>
      <c r="I11" s="126">
        <f t="shared" si="3"/>
        <v>1</v>
      </c>
      <c r="P11" s="92">
        <v>1</v>
      </c>
      <c r="X11" s="92">
        <v>1</v>
      </c>
      <c r="Z11" s="92">
        <v>1</v>
      </c>
      <c r="AB11" s="138">
        <f>VLOOKUP(F11,Tabelas!A:C,2,FALSE)</f>
        <v>0.5</v>
      </c>
      <c r="AC11" s="139">
        <f t="shared" si="4"/>
        <v>3</v>
      </c>
      <c r="AD11" s="138">
        <f t="shared" si="5"/>
        <v>0.69897000433601875</v>
      </c>
      <c r="AE11" s="138">
        <f>VLOOKUP(D11,LPeriodicos!A:E,5,TRUE)*IF(I11&gt;0,1.1,1)*AD11</f>
        <v>0.38443350238481033</v>
      </c>
      <c r="AJ11" s="71"/>
    </row>
    <row r="12" spans="1:38" ht="16.5" customHeight="1" x14ac:dyDescent="0.3">
      <c r="A12" s="71">
        <v>2021</v>
      </c>
      <c r="B12" s="71">
        <v>11</v>
      </c>
      <c r="C12" t="s">
        <v>189</v>
      </c>
      <c r="D12" t="s">
        <v>190</v>
      </c>
      <c r="F12" s="126" t="str">
        <f>VLOOKUP(D12,LPeriodicos!A:B,2,FALSE)</f>
        <v>A2</v>
      </c>
      <c r="G12" s="126">
        <f>VLOOKUP(D12,LPeriodicos!A:C,3,TRUE)</f>
        <v>1</v>
      </c>
      <c r="H12" s="126">
        <f>VLOOKUP(D12,LPeriodicos!A:D,4,TRUE)</f>
        <v>1</v>
      </c>
      <c r="I12" s="126">
        <f t="shared" si="3"/>
        <v>0</v>
      </c>
      <c r="K12" s="92">
        <v>1</v>
      </c>
      <c r="AB12" s="138">
        <f>VLOOKUP(F12,Tabelas!A:C,2,FALSE)</f>
        <v>0.875</v>
      </c>
      <c r="AC12" s="139">
        <f t="shared" si="4"/>
        <v>1</v>
      </c>
      <c r="AD12" s="138">
        <f t="shared" si="5"/>
        <v>1</v>
      </c>
      <c r="AE12" s="138">
        <f>VLOOKUP(D12,LPeriodicos!A:E,5,TRUE)*IF(I12&gt;0,1.1,1)*AD12</f>
        <v>0.875</v>
      </c>
      <c r="AJ12" s="71"/>
    </row>
    <row r="13" spans="1:38" ht="16.5" x14ac:dyDescent="0.3">
      <c r="A13" s="71">
        <v>2021</v>
      </c>
      <c r="B13" s="71">
        <v>12</v>
      </c>
      <c r="C13" t="s">
        <v>175</v>
      </c>
      <c r="D13" t="s">
        <v>176</v>
      </c>
      <c r="F13" s="126" t="str">
        <f>VLOOKUP(D13,LPeriodicos!A:B,2,FALSE)</f>
        <v>A2</v>
      </c>
      <c r="G13" s="126">
        <f>VLOOKUP(D13,LPeriodicos!A:C,3,TRUE)</f>
        <v>1</v>
      </c>
      <c r="H13" s="126">
        <f>VLOOKUP(D13,LPeriodicos!A:D,4,TRUE)</f>
        <v>1</v>
      </c>
      <c r="I13" s="126">
        <f t="shared" si="3"/>
        <v>0</v>
      </c>
      <c r="K13" s="92">
        <v>1</v>
      </c>
      <c r="AB13" s="138">
        <f>VLOOKUP(F13,Tabelas!A:C,2,FALSE)</f>
        <v>0.875</v>
      </c>
      <c r="AC13" s="139">
        <f t="shared" si="4"/>
        <v>1</v>
      </c>
      <c r="AD13" s="138">
        <f t="shared" si="5"/>
        <v>1</v>
      </c>
      <c r="AE13" s="138">
        <f>VLOOKUP(D13,LPeriodicos!A:E,5,TRUE)*IF(I13&gt;0,1.1,1)*AD13</f>
        <v>0.875</v>
      </c>
      <c r="AJ13" s="71"/>
      <c r="AK13" s="71"/>
      <c r="AL13" s="71"/>
    </row>
    <row r="14" spans="1:38" ht="16.5" x14ac:dyDescent="0.3">
      <c r="A14" s="71">
        <v>2021</v>
      </c>
      <c r="B14" s="71">
        <v>13</v>
      </c>
      <c r="C14" t="s">
        <v>194</v>
      </c>
      <c r="D14" t="s">
        <v>176</v>
      </c>
      <c r="F14" s="126" t="str">
        <f>VLOOKUP(D14,LPeriodicos!A:B,2,FALSE)</f>
        <v>A2</v>
      </c>
      <c r="G14" s="126">
        <f>VLOOKUP(D14,LPeriodicos!A:C,3,TRUE)</f>
        <v>1</v>
      </c>
      <c r="H14" s="126">
        <f>VLOOKUP(D14,LPeriodicos!A:D,4,TRUE)</f>
        <v>1</v>
      </c>
      <c r="I14" s="126">
        <f t="shared" si="3"/>
        <v>0</v>
      </c>
      <c r="K14" s="92">
        <v>1</v>
      </c>
      <c r="AB14" s="138">
        <f>VLOOKUP(F14,Tabelas!A:C,2,FALSE)</f>
        <v>0.875</v>
      </c>
      <c r="AC14" s="139">
        <f t="shared" si="4"/>
        <v>1</v>
      </c>
      <c r="AD14" s="138">
        <f t="shared" si="5"/>
        <v>1</v>
      </c>
      <c r="AE14" s="138">
        <f>VLOOKUP(D14,LPeriodicos!A:E,5,TRUE)*IF(I14&gt;0,1.1,1)*AD14</f>
        <v>0.875</v>
      </c>
    </row>
    <row r="15" spans="1:38" ht="15.75" customHeight="1" x14ac:dyDescent="0.25">
      <c r="A15" s="71">
        <v>2021</v>
      </c>
      <c r="B15" s="71">
        <v>14</v>
      </c>
      <c r="C15" t="s">
        <v>196</v>
      </c>
      <c r="D15" t="s">
        <v>197</v>
      </c>
      <c r="E15" t="s">
        <v>198</v>
      </c>
      <c r="F15" s="126" t="str">
        <f>VLOOKUP(D15,LPeriodicos!A:B,2,FALSE)</f>
        <v>B1</v>
      </c>
      <c r="G15" s="126">
        <f>VLOOKUP(D15,LPeriodicos!A:C,3,TRUE)</f>
        <v>1</v>
      </c>
      <c r="H15" s="126">
        <f>VLOOKUP(D15,LPeriodicos!A:D,4,TRUE)</f>
        <v>0</v>
      </c>
      <c r="I15" s="126">
        <f t="shared" si="3"/>
        <v>1</v>
      </c>
      <c r="R15" s="92">
        <v>1</v>
      </c>
      <c r="U15" s="92">
        <v>1</v>
      </c>
      <c r="Y15" s="92">
        <v>1</v>
      </c>
      <c r="AB15" s="138">
        <f>VLOOKUP(F15,Tabelas!A:C,2,FALSE)</f>
        <v>0.5</v>
      </c>
      <c r="AC15" s="139">
        <f t="shared" si="4"/>
        <v>3</v>
      </c>
      <c r="AD15" s="138">
        <f t="shared" si="5"/>
        <v>0.69897000433601875</v>
      </c>
      <c r="AE15" s="138">
        <f>VLOOKUP(D15,LPeriodicos!A:E,5,TRUE)*IF(I15&gt;0,1.1,1)*AD15</f>
        <v>0.38443350238481033</v>
      </c>
    </row>
    <row r="16" spans="1:38" ht="16.5" x14ac:dyDescent="0.3">
      <c r="A16" s="71">
        <v>2021</v>
      </c>
      <c r="B16" s="71">
        <v>15</v>
      </c>
      <c r="C16" t="s">
        <v>239</v>
      </c>
      <c r="D16" t="s">
        <v>240</v>
      </c>
      <c r="F16" s="126" t="str">
        <f>VLOOKUP(D16,LPeriodicos!A:B,2,FALSE)</f>
        <v>A2</v>
      </c>
      <c r="G16" s="126">
        <f>VLOOKUP(D16,LPeriodicos!A:C,3,TRUE)</f>
        <v>0</v>
      </c>
      <c r="H16" s="126">
        <f>VLOOKUP(D16,LPeriodicos!A:D,4,TRUE)</f>
        <v>1</v>
      </c>
      <c r="I16" s="126">
        <f t="shared" si="3"/>
        <v>0</v>
      </c>
      <c r="K16" s="92">
        <v>1</v>
      </c>
      <c r="AB16" s="138">
        <f>VLOOKUP(F16,Tabelas!A:C,2,FALSE)</f>
        <v>0.875</v>
      </c>
      <c r="AC16" s="139">
        <f t="shared" si="4"/>
        <v>1</v>
      </c>
      <c r="AD16" s="138">
        <f t="shared" si="5"/>
        <v>1</v>
      </c>
      <c r="AE16" s="138">
        <f>VLOOKUP(D16,LPeriodicos!A:E,5,TRUE)*IF(I16&gt;0,1.1,1)*AD16</f>
        <v>0.875</v>
      </c>
    </row>
    <row r="17" spans="1:31" ht="16.5" x14ac:dyDescent="0.3">
      <c r="A17" s="71">
        <v>2021</v>
      </c>
      <c r="B17" s="71">
        <v>16</v>
      </c>
      <c r="C17" t="s">
        <v>195</v>
      </c>
      <c r="D17" t="s">
        <v>176</v>
      </c>
      <c r="F17" s="126" t="str">
        <f>VLOOKUP(D17,LPeriodicos!A:B,2,FALSE)</f>
        <v>A2</v>
      </c>
      <c r="G17" s="126">
        <f>VLOOKUP(D17,LPeriodicos!A:C,3,TRUE)</f>
        <v>1</v>
      </c>
      <c r="H17" s="126">
        <f>VLOOKUP(D17,LPeriodicos!A:D,4,TRUE)</f>
        <v>1</v>
      </c>
      <c r="I17" s="126">
        <f t="shared" si="3"/>
        <v>0</v>
      </c>
      <c r="K17" s="92">
        <v>1</v>
      </c>
      <c r="AB17" s="138">
        <f>VLOOKUP(F17,Tabelas!A:C,2,FALSE)</f>
        <v>0.875</v>
      </c>
      <c r="AC17" s="139">
        <f t="shared" si="4"/>
        <v>1</v>
      </c>
      <c r="AD17" s="138">
        <f t="shared" si="5"/>
        <v>1</v>
      </c>
      <c r="AE17" s="138">
        <f>VLOOKUP(D17,LPeriodicos!A:E,5,TRUE)*IF(I17&gt;0,1.1,1)*AD17</f>
        <v>0.875</v>
      </c>
    </row>
    <row r="18" spans="1:31" ht="16.5" customHeight="1" x14ac:dyDescent="0.3">
      <c r="A18" s="71">
        <v>2021</v>
      </c>
      <c r="B18" s="71">
        <v>17</v>
      </c>
      <c r="C18" t="s">
        <v>217</v>
      </c>
      <c r="D18" t="s">
        <v>218</v>
      </c>
      <c r="F18" s="126" t="str">
        <f>VLOOKUP(D18,LPeriodicos!A:B,2,FALSE)</f>
        <v>A2</v>
      </c>
      <c r="G18" s="126">
        <f>VLOOKUP(D18,LPeriodicos!A:C,3,TRUE)</f>
        <v>1</v>
      </c>
      <c r="H18" s="126">
        <f>VLOOKUP(D18,LPeriodicos!A:D,4,TRUE)</f>
        <v>1</v>
      </c>
      <c r="I18" s="126">
        <f t="shared" si="3"/>
        <v>0</v>
      </c>
      <c r="K18" s="92">
        <v>1</v>
      </c>
      <c r="N18" s="92">
        <v>1</v>
      </c>
      <c r="AB18" s="138">
        <f>VLOOKUP(F18,Tabelas!A:C,2,FALSE)</f>
        <v>0.875</v>
      </c>
      <c r="AC18" s="139">
        <f t="shared" si="4"/>
        <v>2</v>
      </c>
      <c r="AD18" s="138">
        <f t="shared" si="5"/>
        <v>1</v>
      </c>
      <c r="AE18" s="138">
        <f>VLOOKUP(D18,LPeriodicos!A:E,5,TRUE)*IF(I18&gt;0,1.1,1)*AD18</f>
        <v>0.875</v>
      </c>
    </row>
    <row r="19" spans="1:31" ht="16.5" x14ac:dyDescent="0.3">
      <c r="A19" s="71">
        <v>2021</v>
      </c>
      <c r="B19" s="71">
        <v>18</v>
      </c>
      <c r="C19" t="s">
        <v>213</v>
      </c>
      <c r="D19" t="s">
        <v>214</v>
      </c>
      <c r="F19" s="126" t="str">
        <f>VLOOKUP(D19,LPeriodicos!A:B,2,FALSE)</f>
        <v>NA</v>
      </c>
      <c r="G19" s="126">
        <f>VLOOKUP(D19,LPeriodicos!A:C,3,TRUE)</f>
        <v>0</v>
      </c>
      <c r="H19" s="126">
        <f>VLOOKUP(D19,LPeriodicos!A:D,4,TRUE)</f>
        <v>0</v>
      </c>
      <c r="I19" s="126">
        <f t="shared" si="3"/>
        <v>0</v>
      </c>
      <c r="Y19" s="92">
        <v>1</v>
      </c>
      <c r="AB19" s="138">
        <f>VLOOKUP(F19,Tabelas!A:C,2,FALSE)</f>
        <v>0</v>
      </c>
      <c r="AC19" s="139">
        <f t="shared" si="4"/>
        <v>1</v>
      </c>
      <c r="AD19" s="138">
        <f t="shared" si="5"/>
        <v>1</v>
      </c>
      <c r="AE19" s="138">
        <f>VLOOKUP(D19,LPeriodicos!A:E,5,TRUE)*IF(I19&gt;0,1.1,1)*AD19</f>
        <v>0</v>
      </c>
    </row>
    <row r="20" spans="1:31" x14ac:dyDescent="0.25">
      <c r="A20" s="71">
        <v>2021</v>
      </c>
      <c r="B20" s="71">
        <v>19</v>
      </c>
      <c r="C20" t="s">
        <v>191</v>
      </c>
      <c r="D20" t="s">
        <v>192</v>
      </c>
      <c r="E20" t="s">
        <v>193</v>
      </c>
      <c r="F20" s="126" t="str">
        <f>VLOOKUP(D20,LPeriodicos!A:B,2,FALSE)</f>
        <v>A4</v>
      </c>
      <c r="G20" s="126">
        <f>VLOOKUP(D20,LPeriodicos!A:C,3,TRUE)</f>
        <v>0</v>
      </c>
      <c r="H20" s="126">
        <f>VLOOKUP(D20,LPeriodicos!A:D,4,TRUE)</f>
        <v>1</v>
      </c>
      <c r="I20" s="126">
        <f t="shared" si="3"/>
        <v>1</v>
      </c>
      <c r="T20" s="92">
        <v>1</v>
      </c>
      <c r="AB20" s="138">
        <f>VLOOKUP(F20,Tabelas!A:C,2,FALSE)</f>
        <v>0.625</v>
      </c>
      <c r="AC20" s="139">
        <f t="shared" si="4"/>
        <v>1</v>
      </c>
      <c r="AD20" s="138">
        <f t="shared" si="5"/>
        <v>1</v>
      </c>
      <c r="AE20" s="138">
        <f>VLOOKUP(D20,LPeriodicos!A:E,5,TRUE)*IF(I20&gt;0,1.1,1)*AD20</f>
        <v>0.6875</v>
      </c>
    </row>
    <row r="21" spans="1:31" ht="16.5" customHeight="1" x14ac:dyDescent="0.3">
      <c r="A21" s="71">
        <v>2021</v>
      </c>
      <c r="B21" s="71">
        <v>20</v>
      </c>
      <c r="C21" t="s">
        <v>203</v>
      </c>
      <c r="D21" t="s">
        <v>204</v>
      </c>
      <c r="E21" t="s">
        <v>670</v>
      </c>
      <c r="F21" s="126" t="str">
        <f>VLOOKUP(D21,LPeriodicos!A:B,2,FALSE)</f>
        <v>B1</v>
      </c>
      <c r="G21" s="126">
        <f>VLOOKUP(D21,LPeriodicos!A:C,3,TRUE)</f>
        <v>1</v>
      </c>
      <c r="H21" s="126">
        <f>VLOOKUP(D21,LPeriodicos!A:D,4,TRUE)</f>
        <v>0</v>
      </c>
      <c r="I21" s="126">
        <f t="shared" si="3"/>
        <v>1</v>
      </c>
      <c r="P21" s="92">
        <v>1</v>
      </c>
      <c r="V21" s="92">
        <v>1</v>
      </c>
      <c r="Z21" s="92">
        <v>1</v>
      </c>
      <c r="AB21" s="138">
        <f>VLOOKUP(F21,Tabelas!A:C,2,FALSE)</f>
        <v>0.5</v>
      </c>
      <c r="AC21" s="139">
        <f t="shared" si="4"/>
        <v>3</v>
      </c>
      <c r="AD21" s="138">
        <f t="shared" si="5"/>
        <v>0.69897000433601875</v>
      </c>
      <c r="AE21" s="138">
        <f>VLOOKUP(D21,LPeriodicos!A:E,5,TRUE)*IF(I21&gt;0,1.1,1)*AD21</f>
        <v>0.38443350238481033</v>
      </c>
    </row>
    <row r="22" spans="1:31" ht="16.5" x14ac:dyDescent="0.3">
      <c r="A22" s="71">
        <v>2021</v>
      </c>
      <c r="B22" s="71">
        <v>21</v>
      </c>
      <c r="C22" t="s">
        <v>231</v>
      </c>
      <c r="D22" t="s">
        <v>232</v>
      </c>
      <c r="F22" s="126" t="str">
        <f>VLOOKUP(D22,LPeriodicos!A:B,2,FALSE)</f>
        <v>A2</v>
      </c>
      <c r="G22" s="126">
        <f>VLOOKUP(D22,LPeriodicos!A:C,3,TRUE)</f>
        <v>1</v>
      </c>
      <c r="H22" s="126">
        <f>VLOOKUP(D22,LPeriodicos!A:D,4,TRUE)</f>
        <v>1</v>
      </c>
      <c r="I22" s="126">
        <f t="shared" si="3"/>
        <v>0</v>
      </c>
      <c r="K22" s="92">
        <v>1</v>
      </c>
      <c r="AB22" s="138">
        <f>VLOOKUP(F22,Tabelas!A:C,2,FALSE)</f>
        <v>0.875</v>
      </c>
      <c r="AC22" s="139">
        <f t="shared" si="4"/>
        <v>1</v>
      </c>
      <c r="AD22" s="138">
        <f t="shared" si="5"/>
        <v>1</v>
      </c>
      <c r="AE22" s="138">
        <f>VLOOKUP(D22,LPeriodicos!A:E,5,TRUE)*IF(I22&gt;0,1.1,1)*AD22</f>
        <v>0.875</v>
      </c>
    </row>
    <row r="23" spans="1:31" ht="16.5" x14ac:dyDescent="0.3">
      <c r="A23" s="71">
        <v>2021</v>
      </c>
      <c r="B23" s="71">
        <v>22</v>
      </c>
      <c r="C23" t="s">
        <v>235</v>
      </c>
      <c r="D23" t="s">
        <v>227</v>
      </c>
      <c r="E23" t="s">
        <v>91</v>
      </c>
      <c r="F23" s="126" t="str">
        <f>VLOOKUP(D23,LPeriodicos!A:B,2,FALSE)</f>
        <v>A1</v>
      </c>
      <c r="G23" s="126">
        <f>VLOOKUP(D23,LPeriodicos!A:C,3,TRUE)</f>
        <v>1</v>
      </c>
      <c r="H23" s="126">
        <f>VLOOKUP(D23,LPeriodicos!A:D,4,TRUE)</f>
        <v>1</v>
      </c>
      <c r="I23" s="126">
        <v>0</v>
      </c>
      <c r="O23" s="92">
        <v>1</v>
      </c>
      <c r="P23" s="92">
        <v>1</v>
      </c>
      <c r="AB23" s="138">
        <f>VLOOKUP(F23,Tabelas!A:C,2,FALSE)</f>
        <v>1</v>
      </c>
      <c r="AC23" s="139">
        <f t="shared" si="4"/>
        <v>2</v>
      </c>
      <c r="AD23" s="138">
        <f t="shared" si="5"/>
        <v>1</v>
      </c>
      <c r="AE23" s="138">
        <f>VLOOKUP(D23,LPeriodicos!A:E,5,TRUE)*IF(I23&gt;0,1.1,1)*AD23</f>
        <v>1</v>
      </c>
    </row>
    <row r="24" spans="1:31" x14ac:dyDescent="0.25">
      <c r="A24" s="71">
        <v>2021</v>
      </c>
      <c r="B24" s="71">
        <v>23</v>
      </c>
      <c r="C24" t="s">
        <v>671</v>
      </c>
      <c r="D24" t="s">
        <v>672</v>
      </c>
      <c r="F24" s="126" t="str">
        <f>VLOOKUP(D24,LPeriodicos!A:B,2,FALSE)</f>
        <v>A2</v>
      </c>
      <c r="G24" s="126">
        <f>VLOOKUP(D24,LPeriodicos!A:C,3,TRUE)</f>
        <v>0</v>
      </c>
      <c r="H24" s="126">
        <f>VLOOKUP(D24,LPeriodicos!A:D,4,TRUE)</f>
        <v>1</v>
      </c>
      <c r="I24" s="126">
        <v>1</v>
      </c>
      <c r="K24" s="92">
        <v>1</v>
      </c>
      <c r="AB24" s="138">
        <f>VLOOKUP(F24,Tabelas!A:C,2,FALSE)</f>
        <v>0.875</v>
      </c>
      <c r="AC24" s="139">
        <f t="shared" si="4"/>
        <v>1</v>
      </c>
      <c r="AD24" s="138">
        <f t="shared" si="5"/>
        <v>1</v>
      </c>
      <c r="AE24" s="138">
        <f>VLOOKUP(D24,LPeriodicos!A:E,5,TRUE)*IF(I24&gt;0,1.1,1)*AD24</f>
        <v>0.96250000000000013</v>
      </c>
    </row>
    <row r="25" spans="1:31" ht="15.75" customHeight="1" x14ac:dyDescent="0.3">
      <c r="A25" s="71">
        <v>2021</v>
      </c>
      <c r="B25" s="71">
        <v>24</v>
      </c>
      <c r="C25" t="s">
        <v>229</v>
      </c>
      <c r="D25" t="s">
        <v>230</v>
      </c>
      <c r="E25" t="s">
        <v>673</v>
      </c>
      <c r="F25" s="126" t="str">
        <f>VLOOKUP(D25,LPeriodicos!A:B,2,FALSE)</f>
        <v>A1</v>
      </c>
      <c r="G25" s="126">
        <f>VLOOKUP(D25,LPeriodicos!A:C,3,TRUE)</f>
        <v>0</v>
      </c>
      <c r="H25" s="126">
        <f>VLOOKUP(D25,LPeriodicos!A:D,4,TRUE)</f>
        <v>1</v>
      </c>
      <c r="I25" s="126">
        <f t="shared" ref="I25:I35" si="6">IF(E25&lt;&gt;"",1,0)</f>
        <v>1</v>
      </c>
      <c r="S25" s="92">
        <v>1</v>
      </c>
      <c r="AB25" s="138">
        <f>VLOOKUP(F25,Tabelas!A:C,2,FALSE)</f>
        <v>1</v>
      </c>
      <c r="AC25" s="139">
        <f t="shared" si="4"/>
        <v>1</v>
      </c>
      <c r="AD25" s="138">
        <f t="shared" si="5"/>
        <v>1</v>
      </c>
      <c r="AE25" s="138">
        <f>VLOOKUP(D25,LPeriodicos!A:E,5,TRUE)*IF(I25&gt;0,1.1,1)*AD25</f>
        <v>1.1000000000000001</v>
      </c>
    </row>
    <row r="26" spans="1:31" ht="16.5" x14ac:dyDescent="0.3">
      <c r="A26" s="71">
        <v>2021</v>
      </c>
      <c r="B26" s="71">
        <v>25</v>
      </c>
      <c r="C26" t="s">
        <v>184</v>
      </c>
      <c r="D26" t="s">
        <v>185</v>
      </c>
      <c r="E26" t="s">
        <v>186</v>
      </c>
      <c r="F26" s="126" t="str">
        <f>VLOOKUP(D26,LPeriodicos!A:B,2,FALSE)</f>
        <v>B1</v>
      </c>
      <c r="G26" s="126">
        <f>VLOOKUP(D26,LPeriodicos!A:C,3,TRUE)</f>
        <v>0</v>
      </c>
      <c r="H26" s="126">
        <f>VLOOKUP(D26,LPeriodicos!A:D,4,TRUE)</f>
        <v>0</v>
      </c>
      <c r="I26" s="126">
        <f t="shared" si="6"/>
        <v>1</v>
      </c>
      <c r="R26" s="92">
        <v>1</v>
      </c>
      <c r="S26" s="92">
        <v>1</v>
      </c>
      <c r="U26" s="92">
        <v>1</v>
      </c>
      <c r="AB26" s="138">
        <f>VLOOKUP(F26,Tabelas!A:C,2,FALSE)</f>
        <v>0.5</v>
      </c>
      <c r="AC26" s="139">
        <f t="shared" si="4"/>
        <v>3</v>
      </c>
      <c r="AD26" s="138">
        <f t="shared" si="5"/>
        <v>0.69897000433601875</v>
      </c>
      <c r="AE26" s="138">
        <f>VLOOKUP(D26,LPeriodicos!A:E,5,TRUE)*IF(I26&gt;0,1.1,1)*AD26</f>
        <v>0.38443350238481033</v>
      </c>
    </row>
    <row r="27" spans="1:31" x14ac:dyDescent="0.25">
      <c r="A27" s="71">
        <v>2021</v>
      </c>
      <c r="B27" s="71">
        <v>26</v>
      </c>
      <c r="C27" t="s">
        <v>236</v>
      </c>
      <c r="D27" t="s">
        <v>237</v>
      </c>
      <c r="E27" t="s">
        <v>238</v>
      </c>
      <c r="F27" s="126" t="str">
        <f>VLOOKUP(D27,LPeriodicos!A:B,2,FALSE)</f>
        <v>A2</v>
      </c>
      <c r="G27" s="126">
        <f>VLOOKUP(D27,LPeriodicos!A:C,3,TRUE)</f>
        <v>1</v>
      </c>
      <c r="H27" s="126">
        <f>VLOOKUP(D27,LPeriodicos!A:D,4,TRUE)</f>
        <v>1</v>
      </c>
      <c r="I27" s="126">
        <f t="shared" si="6"/>
        <v>1</v>
      </c>
      <c r="R27" s="92">
        <v>1</v>
      </c>
      <c r="S27" s="92">
        <v>1</v>
      </c>
      <c r="U27" s="92">
        <v>1</v>
      </c>
      <c r="AB27" s="138">
        <f>VLOOKUP(F27,Tabelas!A:C,2,FALSE)</f>
        <v>0.875</v>
      </c>
      <c r="AC27" s="139">
        <f t="shared" si="4"/>
        <v>3</v>
      </c>
      <c r="AD27" s="138">
        <f t="shared" si="5"/>
        <v>0.69897000433601875</v>
      </c>
      <c r="AE27" s="138">
        <f>VLOOKUP(D27,LPeriodicos!A:E,5,TRUE)*IF(I27&gt;0,1.1,1)*AD27</f>
        <v>0.67275862917341811</v>
      </c>
    </row>
    <row r="28" spans="1:31" ht="16.5" x14ac:dyDescent="0.3">
      <c r="A28" s="71">
        <v>2021</v>
      </c>
      <c r="B28" s="71">
        <v>27</v>
      </c>
      <c r="C28" t="s">
        <v>223</v>
      </c>
      <c r="D28" t="s">
        <v>224</v>
      </c>
      <c r="E28" t="s">
        <v>225</v>
      </c>
      <c r="F28" s="126" t="str">
        <f>VLOOKUP(D28,LPeriodicos!A:B,2,FALSE)</f>
        <v>A2</v>
      </c>
      <c r="G28" s="126">
        <f>VLOOKUP(D28,LPeriodicos!A:C,3,TRUE)</f>
        <v>0</v>
      </c>
      <c r="H28" s="126">
        <f>VLOOKUP(D28,LPeriodicos!A:D,4,TRUE)</f>
        <v>1</v>
      </c>
      <c r="I28" s="126">
        <f t="shared" si="6"/>
        <v>1</v>
      </c>
      <c r="K28" s="92">
        <v>1</v>
      </c>
      <c r="AB28" s="138">
        <f>VLOOKUP(F28,Tabelas!A:C,2,FALSE)</f>
        <v>0.875</v>
      </c>
      <c r="AC28" s="139">
        <f t="shared" si="4"/>
        <v>1</v>
      </c>
      <c r="AD28" s="138">
        <f t="shared" si="5"/>
        <v>1</v>
      </c>
      <c r="AE28" s="138">
        <f>VLOOKUP(D28,LPeriodicos!A:E,5,TRUE)*IF(I28&gt;0,1.1,1)*AD28</f>
        <v>0.96250000000000013</v>
      </c>
    </row>
    <row r="29" spans="1:31" ht="15.75" customHeight="1" x14ac:dyDescent="0.3">
      <c r="A29" s="71">
        <v>2021</v>
      </c>
      <c r="B29" s="71">
        <v>28</v>
      </c>
      <c r="C29" t="s">
        <v>233</v>
      </c>
      <c r="D29" t="s">
        <v>234</v>
      </c>
      <c r="F29" s="126" t="str">
        <f>VLOOKUP(D29,LPeriodicos!A:B,2,FALSE)</f>
        <v>A1</v>
      </c>
      <c r="G29" s="126">
        <f>VLOOKUP(D29,LPeriodicos!A:C,3,TRUE)</f>
        <v>1</v>
      </c>
      <c r="H29" s="126">
        <f>VLOOKUP(D29,LPeriodicos!A:D,4,TRUE)</f>
        <v>1</v>
      </c>
      <c r="I29" s="126">
        <f t="shared" si="6"/>
        <v>0</v>
      </c>
      <c r="K29" s="92">
        <v>1</v>
      </c>
      <c r="AB29" s="138">
        <f>VLOOKUP(F29,Tabelas!A:C,2,FALSE)</f>
        <v>1</v>
      </c>
      <c r="AC29" s="139">
        <f t="shared" si="4"/>
        <v>1</v>
      </c>
      <c r="AD29" s="138">
        <f t="shared" si="5"/>
        <v>1</v>
      </c>
      <c r="AE29" s="138">
        <f>VLOOKUP(D29,LPeriodicos!A:E,5,TRUE)*IF(I29&gt;0,1.1,1)*AD29</f>
        <v>1</v>
      </c>
    </row>
    <row r="30" spans="1:31" ht="15.75" customHeight="1" x14ac:dyDescent="0.3">
      <c r="A30" s="71">
        <v>2021</v>
      </c>
      <c r="B30" s="71">
        <v>29</v>
      </c>
      <c r="C30" t="s">
        <v>179</v>
      </c>
      <c r="D30" t="s">
        <v>180</v>
      </c>
      <c r="F30" s="126" t="str">
        <f>VLOOKUP(D30,LPeriodicos!A:B,2,FALSE)</f>
        <v>A1</v>
      </c>
      <c r="G30" s="126">
        <f>VLOOKUP(D30,LPeriodicos!A:C,3,TRUE)</f>
        <v>1</v>
      </c>
      <c r="H30" s="126">
        <f>VLOOKUP(D30,LPeriodicos!A:D,4,TRUE)</f>
        <v>1</v>
      </c>
      <c r="I30" s="126">
        <f t="shared" si="6"/>
        <v>0</v>
      </c>
      <c r="Y30" s="92">
        <v>1</v>
      </c>
      <c r="AB30" s="138">
        <f>VLOOKUP(F30,Tabelas!A:C,2,FALSE)</f>
        <v>1</v>
      </c>
      <c r="AC30" s="139">
        <f t="shared" si="4"/>
        <v>1</v>
      </c>
      <c r="AD30" s="138">
        <f t="shared" si="5"/>
        <v>1</v>
      </c>
      <c r="AE30" s="138">
        <f>VLOOKUP(D30,LPeriodicos!A:E,5,TRUE)*IF(I30&gt;0,1.1,1)*AD30</f>
        <v>1</v>
      </c>
    </row>
    <row r="31" spans="1:31" ht="16.5" x14ac:dyDescent="0.3">
      <c r="A31" s="71">
        <v>2021</v>
      </c>
      <c r="B31" s="71">
        <v>30</v>
      </c>
      <c r="C31" t="s">
        <v>181</v>
      </c>
      <c r="D31" t="s">
        <v>182</v>
      </c>
      <c r="E31" t="s">
        <v>183</v>
      </c>
      <c r="F31" s="126" t="str">
        <f>VLOOKUP(D31,LPeriodicos!A:B,2,FALSE)</f>
        <v>A1</v>
      </c>
      <c r="G31" s="126">
        <f>VLOOKUP(D31,LPeriodicos!A:C,3,TRUE)</f>
        <v>1</v>
      </c>
      <c r="H31" s="126">
        <f>VLOOKUP(D31,LPeriodicos!A:D,4,TRUE)</f>
        <v>1</v>
      </c>
      <c r="I31" s="126">
        <f t="shared" si="6"/>
        <v>1</v>
      </c>
      <c r="Y31" s="92">
        <v>1</v>
      </c>
      <c r="AB31" s="138">
        <f>VLOOKUP(F31,Tabelas!A:C,2,FALSE)</f>
        <v>1</v>
      </c>
      <c r="AC31" s="139">
        <f t="shared" si="4"/>
        <v>1</v>
      </c>
      <c r="AD31" s="138">
        <f t="shared" si="5"/>
        <v>1</v>
      </c>
      <c r="AE31" s="138">
        <f>VLOOKUP(D31,LPeriodicos!A:E,5,TRUE)*IF(I31&gt;0,1.1,1)*AD31</f>
        <v>1.1000000000000001</v>
      </c>
    </row>
    <row r="32" spans="1:31" ht="15.75" customHeight="1" x14ac:dyDescent="0.25">
      <c r="A32" s="71">
        <v>2021</v>
      </c>
      <c r="B32" s="71">
        <v>31</v>
      </c>
      <c r="C32" t="s">
        <v>215</v>
      </c>
      <c r="D32" t="s">
        <v>216</v>
      </c>
      <c r="E32" t="s">
        <v>193</v>
      </c>
      <c r="F32" s="126" t="str">
        <f>VLOOKUP(D32,LPeriodicos!A:B,2,FALSE)</f>
        <v>B2</v>
      </c>
      <c r="G32" s="126">
        <f>VLOOKUP(D32,LPeriodicos!A:C,3,TRUE)</f>
        <v>0</v>
      </c>
      <c r="H32" s="126">
        <f>VLOOKUP(D32,LPeriodicos!A:D,4,TRUE)</f>
        <v>0</v>
      </c>
      <c r="I32" s="126">
        <f t="shared" si="6"/>
        <v>1</v>
      </c>
      <c r="T32" s="92">
        <v>1</v>
      </c>
      <c r="AB32" s="138">
        <f>VLOOKUP(F32,Tabelas!A:C,2,FALSE)</f>
        <v>0.2</v>
      </c>
      <c r="AC32" s="139">
        <f t="shared" si="4"/>
        <v>1</v>
      </c>
      <c r="AD32" s="138">
        <f t="shared" si="5"/>
        <v>1</v>
      </c>
      <c r="AE32" s="138">
        <f>VLOOKUP(D32,LPeriodicos!A:E,5,TRUE)*IF(I32&gt;0,1.1,1)*AD32</f>
        <v>0.22000000000000003</v>
      </c>
    </row>
    <row r="33" spans="1:31" ht="16.5" x14ac:dyDescent="0.3">
      <c r="A33" s="71">
        <v>2021</v>
      </c>
      <c r="B33" s="71">
        <v>32</v>
      </c>
      <c r="C33" t="s">
        <v>208</v>
      </c>
      <c r="D33" t="s">
        <v>209</v>
      </c>
      <c r="F33" s="126" t="str">
        <f>VLOOKUP(D33,LPeriodicos!A:B,2,FALSE)</f>
        <v>A3</v>
      </c>
      <c r="G33" s="126">
        <f>VLOOKUP(D33,LPeriodicos!A:C,3,TRUE)</f>
        <v>0</v>
      </c>
      <c r="H33" s="126">
        <f>VLOOKUP(D33,LPeriodicos!A:D,4,TRUE)</f>
        <v>1</v>
      </c>
      <c r="I33" s="126">
        <f t="shared" si="6"/>
        <v>0</v>
      </c>
      <c r="K33" s="92">
        <v>1</v>
      </c>
      <c r="AB33" s="138">
        <f>VLOOKUP(F33,Tabelas!A:C,2,FALSE)</f>
        <v>0.75</v>
      </c>
      <c r="AC33" s="139">
        <f t="shared" si="4"/>
        <v>1</v>
      </c>
      <c r="AD33" s="138">
        <f t="shared" si="5"/>
        <v>1</v>
      </c>
      <c r="AE33" s="138">
        <f>VLOOKUP(D33,LPeriodicos!A:E,5,TRUE)*IF(I33&gt;0,1.1,1)*AD33</f>
        <v>0.75</v>
      </c>
    </row>
    <row r="34" spans="1:31" x14ac:dyDescent="0.25">
      <c r="A34" s="71">
        <v>2021</v>
      </c>
      <c r="B34" s="71">
        <v>33</v>
      </c>
      <c r="C34" t="s">
        <v>177</v>
      </c>
      <c r="D34" t="s">
        <v>178</v>
      </c>
      <c r="F34" s="126" t="str">
        <f>VLOOKUP(D34,LPeriodicos!A:B,2,FALSE)</f>
        <v>A3</v>
      </c>
      <c r="G34" s="126">
        <f>VLOOKUP(D34,LPeriodicos!A:C,3,TRUE)</f>
        <v>1</v>
      </c>
      <c r="H34" s="126">
        <f>VLOOKUP(D34,LPeriodicos!A:D,4,TRUE)</f>
        <v>1</v>
      </c>
      <c r="I34" s="126">
        <f t="shared" si="6"/>
        <v>0</v>
      </c>
      <c r="O34" s="92">
        <v>1</v>
      </c>
      <c r="P34" s="92">
        <v>1</v>
      </c>
      <c r="R34" s="92">
        <v>1</v>
      </c>
      <c r="V34" s="92">
        <v>1</v>
      </c>
      <c r="AB34" s="138">
        <f>VLOOKUP(F34,Tabelas!A:C,2,FALSE)</f>
        <v>0.75</v>
      </c>
      <c r="AC34" s="139">
        <f t="shared" si="4"/>
        <v>4</v>
      </c>
      <c r="AD34" s="138">
        <f t="shared" si="5"/>
        <v>0.52287874528033762</v>
      </c>
      <c r="AE34" s="138">
        <f>VLOOKUP(D34,LPeriodicos!A:E,5,TRUE)*IF(I34&gt;0,1.1,1)*AD34</f>
        <v>0.39215905896025322</v>
      </c>
    </row>
    <row r="35" spans="1:31" ht="16.5" x14ac:dyDescent="0.3">
      <c r="A35" s="71">
        <v>2021</v>
      </c>
      <c r="B35" s="71">
        <v>34</v>
      </c>
      <c r="C35" t="s">
        <v>187</v>
      </c>
      <c r="D35" t="s">
        <v>188</v>
      </c>
      <c r="F35" s="126" t="str">
        <f>VLOOKUP(D35,LPeriodicos!A:B,2,FALSE)</f>
        <v>A3</v>
      </c>
      <c r="G35" s="126">
        <f>VLOOKUP(D35,LPeriodicos!A:C,3,TRUE)</f>
        <v>1</v>
      </c>
      <c r="H35" s="126">
        <f>VLOOKUP(D35,LPeriodicos!A:D,4,TRUE)</f>
        <v>1</v>
      </c>
      <c r="I35" s="126">
        <f t="shared" si="6"/>
        <v>0</v>
      </c>
      <c r="K35" s="92">
        <v>1</v>
      </c>
      <c r="AB35" s="138">
        <f>VLOOKUP(F35,Tabelas!A:C,2,FALSE)</f>
        <v>0.75</v>
      </c>
      <c r="AC35" s="139">
        <f t="shared" si="4"/>
        <v>1</v>
      </c>
      <c r="AD35" s="138">
        <f t="shared" si="5"/>
        <v>1</v>
      </c>
      <c r="AE35" s="138">
        <f>VLOOKUP(D35,LPeriodicos!A:E,5,TRUE)*IF(I35&gt;0,1.1,1)*AD35</f>
        <v>0.75</v>
      </c>
    </row>
    <row r="36" spans="1:31" x14ac:dyDescent="0.25">
      <c r="A36" s="137">
        <v>2022</v>
      </c>
      <c r="B36" s="137">
        <v>1</v>
      </c>
      <c r="C36" s="136" t="s">
        <v>695</v>
      </c>
      <c r="D36" t="s">
        <v>387</v>
      </c>
      <c r="E36" t="s">
        <v>136</v>
      </c>
      <c r="F36" s="126" t="str">
        <f>VLOOKUP(D36,LPeriodicos!A:B,2,FALSE)</f>
        <v>B1</v>
      </c>
      <c r="G36" s="126">
        <f>VLOOKUP(D36,LPeriodicos!A:C,3,TRUE)</f>
        <v>1</v>
      </c>
      <c r="H36" s="126">
        <f>VLOOKUP(D36,LPeriodicos!A:D,4,TRUE)</f>
        <v>0</v>
      </c>
      <c r="I36" s="126">
        <v>1</v>
      </c>
      <c r="L36" s="92">
        <v>1</v>
      </c>
      <c r="Z36" s="92">
        <v>1</v>
      </c>
      <c r="AB36" s="138">
        <f>VLOOKUP(F36,Tabelas!A:C,2,FALSE)</f>
        <v>0.5</v>
      </c>
      <c r="AC36" s="139">
        <f t="shared" si="4"/>
        <v>2</v>
      </c>
      <c r="AD36" s="138">
        <f t="shared" si="5"/>
        <v>1</v>
      </c>
      <c r="AE36" s="138">
        <f>VLOOKUP(D36,LPeriodicos!A:E,5,TRUE)*IF(I36&gt;0,1.1,1)*AD36</f>
        <v>0.55000000000000004</v>
      </c>
    </row>
    <row r="37" spans="1:31" x14ac:dyDescent="0.25">
      <c r="A37" s="137">
        <v>2022</v>
      </c>
      <c r="B37" s="137">
        <v>2</v>
      </c>
      <c r="C37" s="136" t="s">
        <v>700</v>
      </c>
      <c r="D37" t="s">
        <v>703</v>
      </c>
      <c r="E37" t="s">
        <v>701</v>
      </c>
      <c r="F37" s="126" t="str">
        <f>VLOOKUP(D37,LPeriodicos!A:B,2,FALSE)</f>
        <v>A3</v>
      </c>
      <c r="G37" s="126">
        <f>VLOOKUP(D37,LPeriodicos!A:C,3,TRUE)</f>
        <v>1</v>
      </c>
      <c r="H37" s="126">
        <f>VLOOKUP(D37,LPeriodicos!A:D,4,TRUE)</f>
        <v>1</v>
      </c>
      <c r="I37" s="126">
        <v>1</v>
      </c>
      <c r="K37" s="92">
        <v>1</v>
      </c>
      <c r="Q37" s="92">
        <v>1</v>
      </c>
      <c r="X37" s="92">
        <v>1</v>
      </c>
      <c r="AB37" s="138">
        <f>VLOOKUP(F37,Tabelas!A:C,2,FALSE)</f>
        <v>0.75</v>
      </c>
      <c r="AC37" s="139">
        <f t="shared" si="4"/>
        <v>3</v>
      </c>
      <c r="AD37" s="138">
        <f t="shared" si="5"/>
        <v>0.69897000433601875</v>
      </c>
      <c r="AE37" s="138">
        <f>VLOOKUP(D37,LPeriodicos!A:E,5,TRUE)*IF(I37&gt;0,1.1,1)*AD37</f>
        <v>0.57665025357721555</v>
      </c>
    </row>
    <row r="38" spans="1:31" x14ac:dyDescent="0.25">
      <c r="A38" s="137">
        <v>2022</v>
      </c>
      <c r="B38" s="137">
        <v>3</v>
      </c>
      <c r="C38" s="136" t="s">
        <v>704</v>
      </c>
      <c r="D38" t="s">
        <v>705</v>
      </c>
      <c r="F38" s="126" t="str">
        <f>VLOOKUP(D38,LPeriodicos!A:B,2,FALSE)</f>
        <v>NA</v>
      </c>
      <c r="G38" s="126">
        <f>VLOOKUP(D38,LPeriodicos!A:C,3,TRUE)</f>
        <v>0</v>
      </c>
      <c r="H38" s="126">
        <f>VLOOKUP(D38,LPeriodicos!A:D,4,TRUE)</f>
        <v>1</v>
      </c>
      <c r="I38" s="126">
        <v>1</v>
      </c>
      <c r="Q38" s="92">
        <v>1</v>
      </c>
      <c r="AB38" s="138">
        <f>VLOOKUP(F38,Tabelas!A:C,2,FALSE)</f>
        <v>0</v>
      </c>
      <c r="AC38" s="139">
        <f t="shared" si="4"/>
        <v>1</v>
      </c>
      <c r="AD38" s="138">
        <f t="shared" si="5"/>
        <v>1</v>
      </c>
      <c r="AE38" s="138">
        <f>VLOOKUP(D38,LPeriodicos!A:E,5,TRUE)*IF(I38&gt;0,1.1,1)*AD38</f>
        <v>0.6875</v>
      </c>
    </row>
    <row r="39" spans="1:31" x14ac:dyDescent="0.25">
      <c r="A39" s="137">
        <v>2022</v>
      </c>
      <c r="B39" s="137">
        <v>4</v>
      </c>
      <c r="C39" s="136" t="s">
        <v>707</v>
      </c>
      <c r="D39" t="s">
        <v>245</v>
      </c>
      <c r="F39" s="126" t="str">
        <f>VLOOKUP(D39,LPeriodicos!A:B,2,FALSE)</f>
        <v>B2</v>
      </c>
      <c r="G39" s="126">
        <f>VLOOKUP(D39,LPeriodicos!A:C,3,TRUE)</f>
        <v>0</v>
      </c>
      <c r="H39" s="126">
        <f>VLOOKUP(D39,LPeriodicos!A:D,4,TRUE)</f>
        <v>0</v>
      </c>
      <c r="I39" s="126">
        <v>1</v>
      </c>
      <c r="K39" s="92">
        <v>1</v>
      </c>
      <c r="Q39" s="92">
        <v>1</v>
      </c>
      <c r="AB39" s="138">
        <f>VLOOKUP(F39,Tabelas!A:C,2,FALSE)</f>
        <v>0.2</v>
      </c>
      <c r="AC39" s="139">
        <f t="shared" si="4"/>
        <v>2</v>
      </c>
      <c r="AD39" s="138">
        <f t="shared" si="5"/>
        <v>1</v>
      </c>
      <c r="AE39" s="138">
        <f>VLOOKUP(D39,LPeriodicos!A:E,5,TRUE)*IF(I39&gt;0,1.1,1)*AD39</f>
        <v>0.22000000000000003</v>
      </c>
    </row>
    <row r="40" spans="1:31" x14ac:dyDescent="0.25">
      <c r="A40" s="137">
        <v>2022</v>
      </c>
      <c r="B40" s="137">
        <v>5</v>
      </c>
      <c r="C40" s="136" t="s">
        <v>250</v>
      </c>
      <c r="D40" t="s">
        <v>251</v>
      </c>
      <c r="F40" s="126" t="str">
        <f>VLOOKUP(D40,LPeriodicos!A:B,2,FALSE)</f>
        <v>NA</v>
      </c>
      <c r="G40" s="126">
        <f>VLOOKUP(D40,LPeriodicos!A:C,3,TRUE)</f>
        <v>0</v>
      </c>
      <c r="H40" s="126">
        <f>VLOOKUP(D40,LPeriodicos!A:D,4,TRUE)</f>
        <v>0</v>
      </c>
      <c r="I40" s="126">
        <v>0</v>
      </c>
      <c r="Q40" s="92">
        <v>1</v>
      </c>
      <c r="AB40" s="138">
        <f>VLOOKUP(F40,Tabelas!A:C,2,FALSE)</f>
        <v>0</v>
      </c>
      <c r="AC40" s="139">
        <f t="shared" si="4"/>
        <v>1</v>
      </c>
      <c r="AD40" s="138">
        <f t="shared" si="5"/>
        <v>1</v>
      </c>
      <c r="AE40" s="138">
        <f>VLOOKUP(D40,LPeriodicos!A:E,5,TRUE)*IF(I40&gt;0,1.1,1)*AD40</f>
        <v>0</v>
      </c>
    </row>
    <row r="41" spans="1:31" x14ac:dyDescent="0.25">
      <c r="A41" s="137">
        <v>2022</v>
      </c>
      <c r="B41" s="137">
        <v>6</v>
      </c>
      <c r="C41" s="136" t="s">
        <v>708</v>
      </c>
      <c r="D41" t="s">
        <v>709</v>
      </c>
      <c r="E41" t="s">
        <v>566</v>
      </c>
      <c r="F41" s="126" t="str">
        <f>VLOOKUP(D41,LPeriodicos!A:B,2,FALSE)</f>
        <v>B2</v>
      </c>
      <c r="G41" s="126">
        <f>VLOOKUP(D41,LPeriodicos!A:C,3,TRUE)</f>
        <v>0</v>
      </c>
      <c r="H41" s="126">
        <f>VLOOKUP(D41,LPeriodicos!A:D,4,TRUE)</f>
        <v>0</v>
      </c>
      <c r="I41" s="126">
        <v>1</v>
      </c>
      <c r="T41" s="92">
        <v>1</v>
      </c>
      <c r="AB41" s="138">
        <f>VLOOKUP(F41,Tabelas!A:C,2,FALSE)</f>
        <v>0.2</v>
      </c>
      <c r="AC41" s="139">
        <f t="shared" si="4"/>
        <v>1</v>
      </c>
      <c r="AD41" s="138">
        <f t="shared" si="5"/>
        <v>1</v>
      </c>
      <c r="AE41" s="138">
        <f>VLOOKUP(D41,LPeriodicos!A:E,5,TRUE)*IF(I41&gt;0,1.1,1)*AD41</f>
        <v>0.22000000000000003</v>
      </c>
    </row>
    <row r="42" spans="1:31" x14ac:dyDescent="0.25">
      <c r="A42" s="137">
        <v>2022</v>
      </c>
      <c r="B42" s="137">
        <v>7</v>
      </c>
      <c r="C42" s="136" t="s">
        <v>246</v>
      </c>
      <c r="D42" t="s">
        <v>247</v>
      </c>
      <c r="E42" t="s">
        <v>248</v>
      </c>
      <c r="F42" s="126" t="str">
        <f>VLOOKUP(D42,LPeriodicos!A:B,2,FALSE)</f>
        <v>A4</v>
      </c>
      <c r="G42" s="126">
        <f>VLOOKUP(D42,LPeriodicos!A:C,3,TRUE)</f>
        <v>1</v>
      </c>
      <c r="H42" s="126">
        <f>VLOOKUP(D42,LPeriodicos!A:D,4,TRUE)</f>
        <v>1</v>
      </c>
      <c r="I42" s="126">
        <v>1</v>
      </c>
      <c r="O42" s="92">
        <v>1</v>
      </c>
      <c r="P42" s="92">
        <v>1</v>
      </c>
      <c r="AB42" s="138">
        <f>VLOOKUP(F42,Tabelas!A:C,2,FALSE)</f>
        <v>0.625</v>
      </c>
      <c r="AC42" s="139">
        <f t="shared" si="4"/>
        <v>2</v>
      </c>
      <c r="AD42" s="138">
        <f t="shared" si="5"/>
        <v>1</v>
      </c>
      <c r="AE42" s="138">
        <f>VLOOKUP(D42,LPeriodicos!A:E,5,TRUE)*IF(I42&gt;0,1.1,1)*AD42</f>
        <v>0.6875</v>
      </c>
    </row>
    <row r="43" spans="1:31" x14ac:dyDescent="0.25">
      <c r="A43" s="137">
        <v>2022</v>
      </c>
      <c r="B43" s="137">
        <v>8</v>
      </c>
      <c r="C43" s="136" t="s">
        <v>253</v>
      </c>
      <c r="D43" t="s">
        <v>254</v>
      </c>
      <c r="E43" t="s">
        <v>85</v>
      </c>
      <c r="F43" s="126" t="str">
        <f>VLOOKUP(D43,LPeriodicos!A:B,2,FALSE)</f>
        <v>A2</v>
      </c>
      <c r="G43" s="126">
        <f>VLOOKUP(D43,LPeriodicos!A:C,3,TRUE)</f>
        <v>1</v>
      </c>
      <c r="H43" s="126">
        <f>VLOOKUP(D43,LPeriodicos!A:D,4,TRUE)</f>
        <v>1</v>
      </c>
      <c r="I43" s="126">
        <v>1</v>
      </c>
      <c r="P43" s="92">
        <v>1</v>
      </c>
      <c r="V43" s="92">
        <v>1</v>
      </c>
      <c r="Z43" s="92">
        <v>1</v>
      </c>
      <c r="AB43" s="138">
        <f>VLOOKUP(F43,Tabelas!A:C,2,FALSE)</f>
        <v>0.875</v>
      </c>
      <c r="AC43" s="139">
        <f t="shared" si="4"/>
        <v>3</v>
      </c>
      <c r="AD43" s="138">
        <f t="shared" si="5"/>
        <v>0.69897000433601875</v>
      </c>
      <c r="AE43" s="138">
        <f>VLOOKUP(D43,LPeriodicos!A:E,5,TRUE)*IF(I43&gt;0,1.1,1)*AD43</f>
        <v>0.67275862917341811</v>
      </c>
    </row>
    <row r="44" spans="1:31" x14ac:dyDescent="0.25">
      <c r="A44" s="137">
        <v>2022</v>
      </c>
      <c r="B44" s="137">
        <v>9</v>
      </c>
      <c r="C44" s="136" t="s">
        <v>177</v>
      </c>
      <c r="D44" t="s">
        <v>178</v>
      </c>
      <c r="F44" s="126" t="str">
        <f>VLOOKUP(D44,LPeriodicos!A:B,2,FALSE)</f>
        <v>A3</v>
      </c>
      <c r="G44" s="126">
        <f>VLOOKUP(D44,LPeriodicos!A:C,3,TRUE)</f>
        <v>1</v>
      </c>
      <c r="H44" s="126">
        <f>VLOOKUP(D44,LPeriodicos!A:D,4,TRUE)</f>
        <v>1</v>
      </c>
      <c r="I44" s="126">
        <v>0</v>
      </c>
      <c r="O44" s="92">
        <v>1</v>
      </c>
      <c r="P44" s="92">
        <v>1</v>
      </c>
      <c r="R44" s="92">
        <v>1</v>
      </c>
      <c r="V44" s="92">
        <v>1</v>
      </c>
      <c r="AB44" s="138">
        <f>VLOOKUP(F44,Tabelas!A:C,2,FALSE)</f>
        <v>0.75</v>
      </c>
      <c r="AC44" s="139">
        <f t="shared" si="4"/>
        <v>4</v>
      </c>
      <c r="AD44" s="138">
        <f t="shared" si="5"/>
        <v>0.52287874528033762</v>
      </c>
      <c r="AE44" s="138">
        <f>VLOOKUP(D44,LPeriodicos!A:E,5,TRUE)*IF(I44&gt;0,1.1,1)*AD44</f>
        <v>0.39215905896025322</v>
      </c>
    </row>
    <row r="45" spans="1:31" x14ac:dyDescent="0.25">
      <c r="A45" s="137">
        <v>2022</v>
      </c>
      <c r="B45" s="137">
        <v>10</v>
      </c>
      <c r="C45" s="136" t="s">
        <v>710</v>
      </c>
      <c r="D45" t="s">
        <v>711</v>
      </c>
      <c r="E45" t="s">
        <v>713</v>
      </c>
      <c r="F45" s="126" t="str">
        <f>VLOOKUP(D45,LPeriodicos!A:B,2,FALSE)</f>
        <v>A1</v>
      </c>
      <c r="G45" s="126">
        <f>VLOOKUP(D45,LPeriodicos!A:C,3,TRUE)</f>
        <v>1</v>
      </c>
      <c r="H45" s="126">
        <f>VLOOKUP(D45,LPeriodicos!A:D,4,TRUE)</f>
        <v>1</v>
      </c>
      <c r="I45" s="126">
        <v>0</v>
      </c>
      <c r="P45" s="92">
        <v>1</v>
      </c>
      <c r="T45" s="92">
        <v>1</v>
      </c>
      <c r="AB45" s="138">
        <f>VLOOKUP(F45,Tabelas!A:C,2,FALSE)</f>
        <v>1</v>
      </c>
      <c r="AC45" s="139">
        <f t="shared" si="4"/>
        <v>2</v>
      </c>
      <c r="AD45" s="138">
        <f t="shared" si="5"/>
        <v>1</v>
      </c>
      <c r="AE45" s="138">
        <f>VLOOKUP(D45,LPeriodicos!A:E,5,TRUE)*IF(I45&gt;0,1.1,1)*AD45</f>
        <v>0.875</v>
      </c>
    </row>
    <row r="46" spans="1:31" x14ac:dyDescent="0.25">
      <c r="A46" s="137"/>
      <c r="B46" s="137"/>
      <c r="C46" s="136"/>
      <c r="AC46" s="139"/>
    </row>
  </sheetData>
  <autoFilter ref="A1:AE39" xr:uid="{EAC45F6D-34E4-44BF-ADE9-DA3ECF679052}">
    <sortState xmlns:xlrd2="http://schemas.microsoft.com/office/spreadsheetml/2017/richdata2" ref="A2:AE46">
      <sortCondition ref="A1:A46"/>
    </sortState>
  </autoFilter>
  <sortState xmlns:xlrd2="http://schemas.microsoft.com/office/spreadsheetml/2017/richdata2" ref="A2:I32">
    <sortCondition ref="C1:C32"/>
  </sortState>
  <customSheetViews>
    <customSheetView guid="{72A84248-7528-4641-93C6-9429A7C96A1B}" scale="75">
      <pane ySplit="1" topLeftCell="A2" activePane="bottomLeft" state="frozen"/>
      <selection pane="bottomLeft" activeCell="AM33" sqref="AM33"/>
      <pageMargins left="0" right="0" top="0" bottom="0" header="0" footer="0"/>
      <pageSetup orientation="portrait" r:id="rId1"/>
    </customSheetView>
    <customSheetView guid="{D17159D6-6700-6A49-8FAF-59B9A63C8B44}" scale="75">
      <selection activeCell="Y2" sqref="Y2"/>
      <pageMargins left="0" right="0" top="0" bottom="0" header="0" footer="0"/>
      <pageSetup orientation="portrait" r:id="rId2"/>
    </customSheetView>
  </customSheetViews>
  <conditionalFormatting sqref="AB2:AE28 AB32:AE39">
    <cfRule type="cellIs" dxfId="10" priority="55" operator="equal">
      <formula>0</formula>
    </cfRule>
  </conditionalFormatting>
  <conditionalFormatting sqref="AB29:AE29">
    <cfRule type="cellIs" dxfId="9" priority="11" operator="equal">
      <formula>0</formula>
    </cfRule>
  </conditionalFormatting>
  <conditionalFormatting sqref="AB30:AE30">
    <cfRule type="cellIs" dxfId="8" priority="10" operator="equal">
      <formula>0</formula>
    </cfRule>
  </conditionalFormatting>
  <conditionalFormatting sqref="AB31:AE31">
    <cfRule type="cellIs" dxfId="7" priority="9" operator="equal">
      <formula>0</formula>
    </cfRule>
  </conditionalFormatting>
  <conditionalFormatting sqref="AB40:AE40">
    <cfRule type="cellIs" dxfId="6" priority="7" operator="equal">
      <formula>0</formula>
    </cfRule>
  </conditionalFormatting>
  <conditionalFormatting sqref="AB41:AE41">
    <cfRule type="cellIs" dxfId="5" priority="6" operator="equal">
      <formula>0</formula>
    </cfRule>
  </conditionalFormatting>
  <conditionalFormatting sqref="AB42:AE42">
    <cfRule type="cellIs" dxfId="4" priority="5" operator="equal">
      <formula>0</formula>
    </cfRule>
  </conditionalFormatting>
  <conditionalFormatting sqref="AB43:AE43">
    <cfRule type="cellIs" dxfId="3" priority="4" operator="equal">
      <formula>0</formula>
    </cfRule>
  </conditionalFormatting>
  <conditionalFormatting sqref="AB44:AE44">
    <cfRule type="cellIs" dxfId="2" priority="3" operator="equal">
      <formula>0</formula>
    </cfRule>
  </conditionalFormatting>
  <conditionalFormatting sqref="AB45:AE45">
    <cfRule type="cellIs" dxfId="1" priority="2" operator="equal">
      <formula>0</formula>
    </cfRule>
  </conditionalFormatting>
  <conditionalFormatting sqref="AB46:AE46">
    <cfRule type="cellIs" dxfId="0" priority="1" operator="equal">
      <formula>0</formula>
    </cfRule>
  </conditionalFormatting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EA81-9EB7-2B4C-8A60-852CF7721187}"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defaultColWidth="11" defaultRowHeight="15.75" x14ac:dyDescent="0.25"/>
  <cols>
    <col min="1" max="1" width="5.125" bestFit="1" customWidth="1"/>
    <col min="2" max="2" width="4.5" bestFit="1" customWidth="1"/>
    <col min="3" max="3" width="69.375" customWidth="1"/>
    <col min="4" max="4" width="50.625" customWidth="1"/>
    <col min="5" max="5" width="40.125" bestFit="1" customWidth="1"/>
    <col min="6" max="6" width="4.625" bestFit="1" customWidth="1"/>
    <col min="7" max="7" width="1.875" customWidth="1"/>
    <col min="8" max="9" width="4.625" bestFit="1" customWidth="1"/>
    <col min="10" max="10" width="4.625" customWidth="1"/>
    <col min="11" max="23" width="4.625" bestFit="1" customWidth="1"/>
    <col min="24" max="24" width="1.875" customWidth="1"/>
    <col min="25" max="25" width="3.125" style="8" customWidth="1"/>
  </cols>
  <sheetData>
    <row r="1" spans="1:25" s="88" customFormat="1" ht="126.75" customHeight="1" x14ac:dyDescent="0.25">
      <c r="A1" s="87" t="s">
        <v>55</v>
      </c>
      <c r="B1" s="87" t="s">
        <v>56</v>
      </c>
      <c r="C1" s="88" t="s">
        <v>255</v>
      </c>
      <c r="D1" s="88" t="s">
        <v>256</v>
      </c>
      <c r="E1" s="88" t="s">
        <v>59</v>
      </c>
      <c r="F1" s="89" t="s">
        <v>62</v>
      </c>
      <c r="G1" s="87"/>
      <c r="H1" s="90" t="str">
        <f>Geral!B1</f>
        <v>Diego Haddad</v>
      </c>
      <c r="I1" s="90" t="str">
        <f>Geral!C1</f>
        <v>Diego Brandão</v>
      </c>
      <c r="J1" s="90" t="s">
        <v>3</v>
      </c>
      <c r="K1" s="90" t="str">
        <f>Geral!E1</f>
        <v>Douglas Cardoso</v>
      </c>
      <c r="L1" s="90" t="str">
        <f>Geral!F1</f>
        <v>Eduardo Bezerra</v>
      </c>
      <c r="M1" s="90" t="str">
        <f>Geral!G1</f>
        <v>Eduardo Ogasawara</v>
      </c>
      <c r="N1" s="90" t="str">
        <f>Geral!H1</f>
        <v>Felipe Henriques</v>
      </c>
      <c r="O1" s="90" t="str">
        <f>Geral!I1</f>
        <v>Glauco Amorim</v>
      </c>
      <c r="P1" s="90" t="str">
        <f>Geral!J1</f>
        <v>Gustavo Guedes</v>
      </c>
      <c r="Q1" s="90" t="str">
        <f>Geral!K1</f>
        <v xml:space="preserve">Joao Quadros </v>
      </c>
      <c r="R1" s="90" t="str">
        <f>Geral!L1</f>
        <v>Joel dos Santos</v>
      </c>
      <c r="S1" s="90" t="str">
        <f>Geral!M1</f>
        <v>Jorge Soares</v>
      </c>
      <c r="T1" s="90" t="str">
        <f>Geral!N1</f>
        <v>Kele Belloze</v>
      </c>
      <c r="U1" s="90" t="str">
        <f>Geral!O1</f>
        <v>Laura de Assis</v>
      </c>
      <c r="V1" s="90" t="str">
        <f>Geral!P1</f>
        <v>Pedro Gonzalez</v>
      </c>
      <c r="W1" s="90" t="str">
        <f>Geral!Q1</f>
        <v>Rafaelli Coutinho</v>
      </c>
      <c r="X1" s="87"/>
      <c r="Y1" s="91" t="s">
        <v>63</v>
      </c>
    </row>
    <row r="2" spans="1:25" s="72" customFormat="1" x14ac:dyDescent="0.25">
      <c r="A2">
        <v>2021</v>
      </c>
      <c r="B2" s="71">
        <v>1</v>
      </c>
      <c r="C2" t="s">
        <v>257</v>
      </c>
      <c r="D2" t="s">
        <v>258</v>
      </c>
      <c r="E2" t="s">
        <v>259</v>
      </c>
      <c r="F2" s="92">
        <f t="shared" ref="F2:F9" si="0">IF(E2&lt;&gt;"",1,0)</f>
        <v>1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>
        <v>1</v>
      </c>
      <c r="S2" s="93"/>
      <c r="T2" s="93"/>
      <c r="U2" s="93"/>
      <c r="V2" s="93"/>
      <c r="W2" s="93"/>
      <c r="Y2" s="73">
        <f t="shared" ref="Y2:Y9" si="1">SUM(H2:W2)</f>
        <v>1</v>
      </c>
    </row>
    <row r="3" spans="1:25" x14ac:dyDescent="0.25">
      <c r="A3">
        <v>2021</v>
      </c>
      <c r="B3" s="71">
        <v>2</v>
      </c>
      <c r="C3" t="s">
        <v>260</v>
      </c>
      <c r="D3" t="s">
        <v>258</v>
      </c>
      <c r="E3" t="s">
        <v>261</v>
      </c>
      <c r="F3" s="92">
        <f t="shared" si="0"/>
        <v>1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>
        <v>1</v>
      </c>
      <c r="S3" s="92"/>
      <c r="T3" s="92"/>
      <c r="U3" s="92"/>
      <c r="V3" s="92"/>
      <c r="W3" s="92"/>
      <c r="Y3" s="8">
        <f t="shared" si="1"/>
        <v>1</v>
      </c>
    </row>
    <row r="4" spans="1:25" x14ac:dyDescent="0.25">
      <c r="A4">
        <v>2021</v>
      </c>
      <c r="B4" s="71">
        <v>3</v>
      </c>
      <c r="C4" t="s">
        <v>262</v>
      </c>
      <c r="D4" t="s">
        <v>258</v>
      </c>
      <c r="E4" t="s">
        <v>108</v>
      </c>
      <c r="F4" s="92">
        <f t="shared" si="0"/>
        <v>1</v>
      </c>
      <c r="G4" s="92"/>
      <c r="H4" s="92"/>
      <c r="I4" s="92"/>
      <c r="J4" s="92"/>
      <c r="K4" s="92"/>
      <c r="L4" s="92"/>
      <c r="M4" s="92">
        <v>1</v>
      </c>
      <c r="N4" s="92"/>
      <c r="O4" s="92"/>
      <c r="P4" s="92"/>
      <c r="Q4" s="92"/>
      <c r="R4" s="92"/>
      <c r="S4" s="92"/>
      <c r="T4" s="92"/>
      <c r="U4" s="92"/>
      <c r="V4" s="92"/>
      <c r="W4" s="92">
        <v>1</v>
      </c>
      <c r="Y4" s="8">
        <f t="shared" si="1"/>
        <v>2</v>
      </c>
    </row>
    <row r="5" spans="1:25" x14ac:dyDescent="0.25">
      <c r="A5">
        <v>2021</v>
      </c>
      <c r="B5" s="71">
        <v>4</v>
      </c>
      <c r="C5" t="s">
        <v>263</v>
      </c>
      <c r="D5" s="82" t="s">
        <v>264</v>
      </c>
      <c r="F5" s="92">
        <f t="shared" si="0"/>
        <v>0</v>
      </c>
      <c r="G5" s="92"/>
      <c r="H5" s="92"/>
      <c r="I5" s="92">
        <v>1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>
        <v>1</v>
      </c>
      <c r="Y5" s="8">
        <f t="shared" si="1"/>
        <v>2</v>
      </c>
    </row>
    <row r="6" spans="1:25" x14ac:dyDescent="0.25">
      <c r="A6">
        <v>2021</v>
      </c>
      <c r="B6" s="71">
        <v>5</v>
      </c>
      <c r="C6" t="s">
        <v>265</v>
      </c>
      <c r="D6" s="82" t="s">
        <v>264</v>
      </c>
      <c r="E6" s="8"/>
      <c r="F6" s="92">
        <f t="shared" si="0"/>
        <v>0</v>
      </c>
      <c r="G6" s="92"/>
      <c r="H6" s="92"/>
      <c r="I6" s="92"/>
      <c r="J6" s="92"/>
      <c r="K6" s="92"/>
      <c r="L6" s="92">
        <v>1</v>
      </c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Y6" s="8">
        <f t="shared" si="1"/>
        <v>1</v>
      </c>
    </row>
    <row r="7" spans="1:25" x14ac:dyDescent="0.25">
      <c r="A7">
        <v>2021</v>
      </c>
      <c r="B7" s="71">
        <v>6</v>
      </c>
      <c r="C7" t="s">
        <v>266</v>
      </c>
      <c r="D7" s="82" t="s">
        <v>264</v>
      </c>
      <c r="E7" s="8"/>
      <c r="F7" s="92">
        <f t="shared" si="0"/>
        <v>0</v>
      </c>
      <c r="G7" s="92"/>
      <c r="H7" s="92"/>
      <c r="I7" s="92">
        <v>1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>
        <v>1</v>
      </c>
      <c r="Y7" s="8">
        <f t="shared" si="1"/>
        <v>2</v>
      </c>
    </row>
    <row r="8" spans="1:25" x14ac:dyDescent="0.25">
      <c r="A8">
        <v>2021</v>
      </c>
      <c r="B8" s="71">
        <v>7</v>
      </c>
      <c r="C8" t="s">
        <v>267</v>
      </c>
      <c r="D8" s="82" t="s">
        <v>264</v>
      </c>
      <c r="E8" s="8"/>
      <c r="F8" s="92">
        <f t="shared" si="0"/>
        <v>0</v>
      </c>
      <c r="G8" s="92"/>
      <c r="H8" s="92"/>
      <c r="I8" s="92"/>
      <c r="J8" s="92"/>
      <c r="K8" s="92"/>
      <c r="L8" s="92"/>
      <c r="M8" s="92">
        <v>1</v>
      </c>
      <c r="N8" s="92"/>
      <c r="O8" s="92"/>
      <c r="P8" s="92"/>
      <c r="Q8" s="92"/>
      <c r="R8" s="92"/>
      <c r="S8" s="92"/>
      <c r="T8" s="92"/>
      <c r="U8" s="92"/>
      <c r="V8" s="92"/>
      <c r="W8" s="92">
        <v>1</v>
      </c>
      <c r="Y8" s="8">
        <f t="shared" si="1"/>
        <v>2</v>
      </c>
    </row>
    <row r="9" spans="1:25" x14ac:dyDescent="0.25">
      <c r="A9">
        <v>2021</v>
      </c>
      <c r="B9" s="71">
        <v>8</v>
      </c>
      <c r="C9" t="s">
        <v>268</v>
      </c>
      <c r="D9" s="82" t="s">
        <v>269</v>
      </c>
      <c r="E9" t="s">
        <v>270</v>
      </c>
      <c r="F9" s="92">
        <f t="shared" si="0"/>
        <v>1</v>
      </c>
      <c r="G9" s="92"/>
      <c r="H9" s="92"/>
      <c r="I9" s="92"/>
      <c r="J9" s="92"/>
      <c r="K9" s="92"/>
      <c r="L9" s="92"/>
      <c r="M9" s="92">
        <v>1</v>
      </c>
      <c r="N9" s="92"/>
      <c r="O9" s="92"/>
      <c r="P9" s="92"/>
      <c r="Q9" s="92"/>
      <c r="R9" s="92"/>
      <c r="S9" s="92"/>
      <c r="T9" s="92"/>
      <c r="U9" s="92"/>
      <c r="V9" s="92"/>
      <c r="W9" s="92"/>
      <c r="Y9" s="8">
        <f t="shared" si="1"/>
        <v>1</v>
      </c>
    </row>
  </sheetData>
  <autoFilter ref="A1:Y9" xr:uid="{037A1489-51C9-4ED9-96F8-57A18E9712C6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910A-A71A-40C4-8AF0-03EC54B62FC9}">
  <dimension ref="A1:E78"/>
  <sheetViews>
    <sheetView topLeftCell="A60" zoomScale="140" zoomScaleNormal="85" workbookViewId="0">
      <selection activeCell="A78" sqref="A78"/>
    </sheetView>
  </sheetViews>
  <sheetFormatPr defaultColWidth="8.875" defaultRowHeight="15.75" x14ac:dyDescent="0.25"/>
  <cols>
    <col min="1" max="1" width="61" customWidth="1"/>
    <col min="2" max="2" width="6.125" bestFit="1" customWidth="1"/>
    <col min="3" max="3" width="2.875" bestFit="1" customWidth="1"/>
    <col min="4" max="4" width="7.625" style="8" customWidth="1"/>
    <col min="5" max="5" width="7.625" style="2" bestFit="1" customWidth="1"/>
    <col min="6" max="6" width="1.625" customWidth="1"/>
  </cols>
  <sheetData>
    <row r="1" spans="1:5" x14ac:dyDescent="0.25">
      <c r="A1" t="s">
        <v>36</v>
      </c>
      <c r="B1" t="s">
        <v>60</v>
      </c>
      <c r="C1" t="s">
        <v>271</v>
      </c>
      <c r="D1" s="8" t="s">
        <v>22</v>
      </c>
      <c r="E1" s="2" t="s">
        <v>272</v>
      </c>
    </row>
    <row r="2" spans="1:5" x14ac:dyDescent="0.25">
      <c r="A2" t="s">
        <v>273</v>
      </c>
      <c r="B2" s="71" t="s">
        <v>274</v>
      </c>
      <c r="C2">
        <f t="shared" ref="C2:C37" si="0">IF(B2&lt;&gt;"NI",1,0)</f>
        <v>0</v>
      </c>
      <c r="D2" s="8">
        <f>VLOOKUP(B2,Tabelas!A:C,3,FALSE)</f>
        <v>0</v>
      </c>
      <c r="E2" s="2">
        <f>VLOOKUP(B2,Tabelas!A:C,2,FALSE)</f>
        <v>0</v>
      </c>
    </row>
    <row r="3" spans="1:5" x14ac:dyDescent="0.25">
      <c r="A3" t="s">
        <v>275</v>
      </c>
      <c r="B3" s="71" t="s">
        <v>276</v>
      </c>
      <c r="C3">
        <f t="shared" si="0"/>
        <v>1</v>
      </c>
      <c r="D3" s="8">
        <f>VLOOKUP(B3,Tabelas!A:C,3,FALSE)</f>
        <v>1</v>
      </c>
      <c r="E3" s="2">
        <f>VLOOKUP(B3,Tabelas!A:C,2,FALSE)</f>
        <v>0.875</v>
      </c>
    </row>
    <row r="4" spans="1:5" x14ac:dyDescent="0.25">
      <c r="A4" t="s">
        <v>277</v>
      </c>
      <c r="B4" s="71" t="s">
        <v>278</v>
      </c>
      <c r="C4">
        <f t="shared" si="0"/>
        <v>1</v>
      </c>
      <c r="D4" s="8">
        <f>VLOOKUP(B4,Tabelas!A:C,3,FALSE)</f>
        <v>0</v>
      </c>
      <c r="E4" s="2">
        <f>VLOOKUP(B4,Tabelas!A:C,2,FALSE)</f>
        <v>0.5</v>
      </c>
    </row>
    <row r="5" spans="1:5" x14ac:dyDescent="0.25">
      <c r="A5" t="s">
        <v>279</v>
      </c>
      <c r="B5" s="74" t="s">
        <v>280</v>
      </c>
      <c r="C5">
        <f t="shared" si="0"/>
        <v>1</v>
      </c>
      <c r="D5" s="8">
        <f>VLOOKUP(B5,Tabelas!A:C,3,FALSE)</f>
        <v>1</v>
      </c>
      <c r="E5" s="2">
        <f>VLOOKUP(B5,Tabelas!A:C,2,FALSE)</f>
        <v>0.625</v>
      </c>
    </row>
    <row r="6" spans="1:5" x14ac:dyDescent="0.25">
      <c r="A6" t="s">
        <v>97</v>
      </c>
      <c r="B6" s="71" t="s">
        <v>274</v>
      </c>
      <c r="C6">
        <f t="shared" si="0"/>
        <v>0</v>
      </c>
      <c r="D6" s="8">
        <f>VLOOKUP(B6,Tabelas!A:C,3,FALSE)</f>
        <v>0</v>
      </c>
      <c r="E6" s="2">
        <f>VLOOKUP(B6,Tabelas!A:C,2,FALSE)</f>
        <v>0</v>
      </c>
    </row>
    <row r="7" spans="1:5" x14ac:dyDescent="0.25">
      <c r="A7" t="s">
        <v>78</v>
      </c>
      <c r="B7" s="71" t="s">
        <v>281</v>
      </c>
      <c r="C7">
        <f t="shared" si="0"/>
        <v>1</v>
      </c>
      <c r="D7" s="8">
        <f>VLOOKUP(B7,Tabelas!A:C,3,FALSE)</f>
        <v>0</v>
      </c>
      <c r="E7" s="2">
        <f>VLOOKUP(B7,Tabelas!A:C,2,FALSE)</f>
        <v>0.05</v>
      </c>
    </row>
    <row r="8" spans="1:5" x14ac:dyDescent="0.25">
      <c r="A8" t="s">
        <v>282</v>
      </c>
      <c r="B8" s="71" t="s">
        <v>283</v>
      </c>
      <c r="C8">
        <f t="shared" si="0"/>
        <v>1</v>
      </c>
      <c r="D8" s="8">
        <f>VLOOKUP(B8,Tabelas!A:C,3,FALSE)</f>
        <v>0</v>
      </c>
      <c r="E8" s="2">
        <f>VLOOKUP(B8,Tabelas!A:C,2,FALSE)</f>
        <v>0.1</v>
      </c>
    </row>
    <row r="9" spans="1:5" x14ac:dyDescent="0.25">
      <c r="A9" t="s">
        <v>284</v>
      </c>
      <c r="B9" s="74" t="s">
        <v>278</v>
      </c>
      <c r="C9">
        <f t="shared" si="0"/>
        <v>1</v>
      </c>
      <c r="D9" s="8">
        <f>VLOOKUP(B9,Tabelas!A:C,3,FALSE)</f>
        <v>0</v>
      </c>
      <c r="E9" s="2">
        <f>VLOOKUP(B9,Tabelas!A:C,2,FALSE)</f>
        <v>0.5</v>
      </c>
    </row>
    <row r="10" spans="1:5" x14ac:dyDescent="0.25">
      <c r="A10" t="s">
        <v>285</v>
      </c>
      <c r="B10" s="74" t="s">
        <v>278</v>
      </c>
      <c r="C10">
        <f t="shared" si="0"/>
        <v>1</v>
      </c>
      <c r="D10" s="8">
        <f>VLOOKUP(B10,Tabelas!A:C,3,FALSE)</f>
        <v>0</v>
      </c>
      <c r="E10" s="2">
        <f>VLOOKUP(B10,Tabelas!A:C,2,FALSE)</f>
        <v>0.5</v>
      </c>
    </row>
    <row r="11" spans="1:5" x14ac:dyDescent="0.25">
      <c r="A11" t="s">
        <v>116</v>
      </c>
      <c r="B11" s="74" t="s">
        <v>280</v>
      </c>
      <c r="C11">
        <f t="shared" si="0"/>
        <v>1</v>
      </c>
      <c r="D11" s="8">
        <f>VLOOKUP(B11,Tabelas!A:C,3,FALSE)</f>
        <v>1</v>
      </c>
      <c r="E11" s="2">
        <f>VLOOKUP(B11,Tabelas!A:C,2,FALSE)</f>
        <v>0.625</v>
      </c>
    </row>
    <row r="12" spans="1:5" x14ac:dyDescent="0.25">
      <c r="A12" t="s">
        <v>87</v>
      </c>
      <c r="B12" s="74" t="s">
        <v>281</v>
      </c>
      <c r="C12">
        <f t="shared" si="0"/>
        <v>1</v>
      </c>
      <c r="D12" s="8">
        <f>VLOOKUP(B12,Tabelas!A:C,3,FALSE)</f>
        <v>0</v>
      </c>
      <c r="E12" s="2">
        <f>VLOOKUP(B12,Tabelas!A:C,2,FALSE)</f>
        <v>0.05</v>
      </c>
    </row>
    <row r="13" spans="1:5" x14ac:dyDescent="0.25">
      <c r="A13" t="s">
        <v>140</v>
      </c>
      <c r="B13" s="74" t="s">
        <v>274</v>
      </c>
      <c r="C13">
        <f t="shared" si="0"/>
        <v>0</v>
      </c>
      <c r="D13" s="8">
        <v>0</v>
      </c>
      <c r="E13" s="2">
        <v>0</v>
      </c>
    </row>
    <row r="14" spans="1:5" x14ac:dyDescent="0.25">
      <c r="A14" t="s">
        <v>129</v>
      </c>
      <c r="B14" s="74" t="s">
        <v>283</v>
      </c>
      <c r="C14">
        <f t="shared" si="0"/>
        <v>1</v>
      </c>
      <c r="D14" s="8">
        <f>VLOOKUP(B14,Tabelas!A:C,3,FALSE)</f>
        <v>0</v>
      </c>
      <c r="E14" s="2">
        <f>VLOOKUP(B14,Tabelas!A:C,2,FALSE)</f>
        <v>0.1</v>
      </c>
    </row>
    <row r="15" spans="1:5" x14ac:dyDescent="0.25">
      <c r="A15" t="s">
        <v>90</v>
      </c>
      <c r="B15" s="71" t="s">
        <v>274</v>
      </c>
      <c r="C15">
        <f t="shared" si="0"/>
        <v>0</v>
      </c>
      <c r="D15" s="8">
        <f>VLOOKUP(B15,Tabelas!A:C,3,FALSE)</f>
        <v>0</v>
      </c>
      <c r="E15" s="2">
        <f>VLOOKUP(B15,Tabelas!A:C,2,FALSE)</f>
        <v>0</v>
      </c>
    </row>
    <row r="16" spans="1:5" x14ac:dyDescent="0.25">
      <c r="A16" t="s">
        <v>286</v>
      </c>
      <c r="B16" s="71" t="s">
        <v>274</v>
      </c>
      <c r="C16">
        <f t="shared" si="0"/>
        <v>0</v>
      </c>
      <c r="D16" s="8">
        <f>VLOOKUP(B16,Tabelas!A:C,3,FALSE)</f>
        <v>0</v>
      </c>
      <c r="E16" s="2">
        <f>VLOOKUP(B16,Tabelas!A:C,2,FALSE)</f>
        <v>0</v>
      </c>
    </row>
    <row r="17" spans="1:5" x14ac:dyDescent="0.25">
      <c r="A17" t="s">
        <v>287</v>
      </c>
      <c r="B17" s="74" t="s">
        <v>288</v>
      </c>
      <c r="C17">
        <f t="shared" si="0"/>
        <v>1</v>
      </c>
      <c r="D17" s="8">
        <f>VLOOKUP(B17,Tabelas!A:C,3,FALSE)</f>
        <v>0</v>
      </c>
      <c r="E17" s="2">
        <f>VLOOKUP(B17,Tabelas!A:C,2,FALSE)</f>
        <v>0.2</v>
      </c>
    </row>
    <row r="18" spans="1:5" x14ac:dyDescent="0.25">
      <c r="A18" t="s">
        <v>289</v>
      </c>
      <c r="B18" s="74" t="s">
        <v>281</v>
      </c>
      <c r="C18">
        <f t="shared" si="0"/>
        <v>1</v>
      </c>
      <c r="D18" s="8">
        <f>VLOOKUP(B18,Tabelas!A:C,3,FALSE)</f>
        <v>0</v>
      </c>
      <c r="E18" s="2">
        <f>VLOOKUP(B18,Tabelas!A:C,2,FALSE)</f>
        <v>0.05</v>
      </c>
    </row>
    <row r="19" spans="1:5" x14ac:dyDescent="0.25">
      <c r="A19" t="s">
        <v>290</v>
      </c>
      <c r="B19" s="71" t="s">
        <v>274</v>
      </c>
      <c r="C19">
        <f t="shared" si="0"/>
        <v>0</v>
      </c>
      <c r="D19" s="8">
        <f>VLOOKUP(B19,Tabelas!A:C,3,FALSE)</f>
        <v>0</v>
      </c>
      <c r="E19" s="2">
        <f>VLOOKUP(B19,Tabelas!A:C,2,FALSE)</f>
        <v>0</v>
      </c>
    </row>
    <row r="20" spans="1:5" x14ac:dyDescent="0.25">
      <c r="A20" t="s">
        <v>291</v>
      </c>
      <c r="B20" s="71" t="s">
        <v>274</v>
      </c>
      <c r="C20">
        <f t="shared" si="0"/>
        <v>0</v>
      </c>
      <c r="D20" s="8">
        <f>VLOOKUP(B20,Tabelas!A:C,3,FALSE)</f>
        <v>0</v>
      </c>
      <c r="E20" s="2">
        <f>VLOOKUP(B20,Tabelas!A:C,2,FALSE)</f>
        <v>0</v>
      </c>
    </row>
    <row r="21" spans="1:5" x14ac:dyDescent="0.25">
      <c r="A21" t="s">
        <v>292</v>
      </c>
      <c r="B21" s="74" t="s">
        <v>283</v>
      </c>
      <c r="C21">
        <f t="shared" si="0"/>
        <v>1</v>
      </c>
      <c r="D21" s="8">
        <f>VLOOKUP(B21,Tabelas!A:C,3,FALSE)</f>
        <v>0</v>
      </c>
      <c r="E21" s="2">
        <f>VLOOKUP(B21,Tabelas!A:C,2,FALSE)</f>
        <v>0.1</v>
      </c>
    </row>
    <row r="22" spans="1:5" x14ac:dyDescent="0.25">
      <c r="A22" t="s">
        <v>149</v>
      </c>
      <c r="B22" s="71" t="s">
        <v>274</v>
      </c>
      <c r="C22">
        <f t="shared" si="0"/>
        <v>0</v>
      </c>
      <c r="D22" s="8">
        <f>VLOOKUP(B22,Tabelas!A:C,3,FALSE)</f>
        <v>0</v>
      </c>
      <c r="E22" s="2">
        <f>VLOOKUP(B22,Tabelas!A:C,2,FALSE)</f>
        <v>0</v>
      </c>
    </row>
    <row r="23" spans="1:5" x14ac:dyDescent="0.25">
      <c r="A23" t="s">
        <v>293</v>
      </c>
      <c r="B23" s="71" t="s">
        <v>274</v>
      </c>
      <c r="C23">
        <f t="shared" si="0"/>
        <v>0</v>
      </c>
      <c r="D23" s="8">
        <f>VLOOKUP(B23,Tabelas!A:C,3,FALSE)</f>
        <v>0</v>
      </c>
      <c r="E23" s="2">
        <f>VLOOKUP(B23,Tabelas!A:C,2,FALSE)</f>
        <v>0</v>
      </c>
    </row>
    <row r="24" spans="1:5" x14ac:dyDescent="0.25">
      <c r="A24" t="s">
        <v>294</v>
      </c>
      <c r="B24" s="71" t="s">
        <v>274</v>
      </c>
      <c r="C24">
        <f t="shared" si="0"/>
        <v>0</v>
      </c>
      <c r="D24" s="8">
        <f>VLOOKUP(B24,Tabelas!A:C,3,FALSE)</f>
        <v>0</v>
      </c>
      <c r="E24" s="2">
        <f>VLOOKUP(B24,Tabelas!A:C,2,FALSE)</f>
        <v>0</v>
      </c>
    </row>
    <row r="25" spans="1:5" x14ac:dyDescent="0.25">
      <c r="A25" t="s">
        <v>295</v>
      </c>
      <c r="B25" s="71" t="s">
        <v>274</v>
      </c>
      <c r="C25">
        <f t="shared" si="0"/>
        <v>0</v>
      </c>
      <c r="D25" s="8">
        <f>VLOOKUP(B25,Tabelas!A:C,3,FALSE)</f>
        <v>0</v>
      </c>
      <c r="E25" s="2">
        <f>VLOOKUP(B25,Tabelas!A:C,2,FALSE)</f>
        <v>0</v>
      </c>
    </row>
    <row r="26" spans="1:5" x14ac:dyDescent="0.25">
      <c r="A26" t="s">
        <v>121</v>
      </c>
      <c r="B26" s="71" t="s">
        <v>274</v>
      </c>
      <c r="C26">
        <f t="shared" si="0"/>
        <v>0</v>
      </c>
      <c r="D26" s="8">
        <f>VLOOKUP(B26,Tabelas!A:C,3,FALSE)</f>
        <v>0</v>
      </c>
      <c r="E26" s="2">
        <f>VLOOKUP(B26,Tabelas!A:C,2,FALSE)</f>
        <v>0</v>
      </c>
    </row>
    <row r="27" spans="1:5" x14ac:dyDescent="0.25">
      <c r="A27" t="s">
        <v>73</v>
      </c>
      <c r="B27" s="71" t="s">
        <v>274</v>
      </c>
      <c r="C27">
        <f t="shared" si="0"/>
        <v>0</v>
      </c>
      <c r="D27" s="8">
        <f>VLOOKUP(B27,Tabelas!A:C,3,FALSE)</f>
        <v>0</v>
      </c>
      <c r="E27" s="2">
        <f>VLOOKUP(B27,Tabelas!A:C,2,FALSE)</f>
        <v>0</v>
      </c>
    </row>
    <row r="28" spans="1:5" x14ac:dyDescent="0.25">
      <c r="A28" t="s">
        <v>296</v>
      </c>
      <c r="B28" s="71" t="s">
        <v>274</v>
      </c>
      <c r="C28">
        <f t="shared" si="0"/>
        <v>0</v>
      </c>
      <c r="D28" s="8">
        <f>VLOOKUP(B28,Tabelas!A:C,3,FALSE)</f>
        <v>0</v>
      </c>
      <c r="E28" s="2">
        <f>VLOOKUP(B28,Tabelas!A:C,2,FALSE)</f>
        <v>0</v>
      </c>
    </row>
    <row r="29" spans="1:5" x14ac:dyDescent="0.25">
      <c r="A29" t="s">
        <v>297</v>
      </c>
      <c r="B29" s="71" t="s">
        <v>274</v>
      </c>
      <c r="C29">
        <f t="shared" si="0"/>
        <v>0</v>
      </c>
      <c r="D29" s="8">
        <f>VLOOKUP(B29,Tabelas!A:C,3,FALSE)</f>
        <v>0</v>
      </c>
      <c r="E29" s="2">
        <f>VLOOKUP(B29,Tabelas!A:C,2,FALSE)</f>
        <v>0</v>
      </c>
    </row>
    <row r="30" spans="1:5" x14ac:dyDescent="0.25">
      <c r="A30" t="s">
        <v>298</v>
      </c>
      <c r="B30" s="74" t="s">
        <v>299</v>
      </c>
      <c r="C30">
        <f t="shared" si="0"/>
        <v>1</v>
      </c>
      <c r="D30" s="8">
        <f>VLOOKUP(B30,Tabelas!A:C,3,FALSE)</f>
        <v>1</v>
      </c>
      <c r="E30" s="2">
        <f>VLOOKUP(B30,Tabelas!A:C,2,FALSE)</f>
        <v>0.75</v>
      </c>
    </row>
    <row r="31" spans="1:5" x14ac:dyDescent="0.25">
      <c r="A31" t="s">
        <v>300</v>
      </c>
      <c r="B31" s="74" t="s">
        <v>299</v>
      </c>
      <c r="C31">
        <f t="shared" si="0"/>
        <v>1</v>
      </c>
      <c r="D31" s="8">
        <f>VLOOKUP(B31,Tabelas!A:C,3,FALSE)</f>
        <v>1</v>
      </c>
      <c r="E31" s="2">
        <f>VLOOKUP(B31,Tabelas!A:C,2,FALSE)</f>
        <v>0.75</v>
      </c>
    </row>
    <row r="32" spans="1:5" x14ac:dyDescent="0.25">
      <c r="A32" t="s">
        <v>101</v>
      </c>
      <c r="B32" s="74" t="s">
        <v>280</v>
      </c>
      <c r="C32">
        <f t="shared" si="0"/>
        <v>1</v>
      </c>
      <c r="D32" s="8">
        <f>VLOOKUP(B32,Tabelas!A:C,3,FALSE)</f>
        <v>1</v>
      </c>
      <c r="E32" s="2">
        <f>VLOOKUP(B32,Tabelas!A:C,2,FALSE)</f>
        <v>0.625</v>
      </c>
    </row>
    <row r="33" spans="1:5" x14ac:dyDescent="0.25">
      <c r="A33" t="s">
        <v>152</v>
      </c>
      <c r="B33" s="71" t="s">
        <v>274</v>
      </c>
      <c r="C33">
        <f t="shared" si="0"/>
        <v>0</v>
      </c>
      <c r="D33" s="8">
        <f>VLOOKUP(B33,Tabelas!A:C,3,FALSE)</f>
        <v>0</v>
      </c>
      <c r="E33" s="2">
        <f>VLOOKUP(B33,Tabelas!A:C,2,FALSE)</f>
        <v>0</v>
      </c>
    </row>
    <row r="34" spans="1:5" x14ac:dyDescent="0.25">
      <c r="A34" t="s">
        <v>301</v>
      </c>
      <c r="B34" s="71" t="s">
        <v>274</v>
      </c>
      <c r="C34">
        <f t="shared" si="0"/>
        <v>0</v>
      </c>
      <c r="D34" s="8">
        <f>VLOOKUP(B34,Tabelas!A:C,3,FALSE)</f>
        <v>0</v>
      </c>
      <c r="E34" s="2">
        <f>VLOOKUP(B34,Tabelas!A:C,2,FALSE)</f>
        <v>0</v>
      </c>
    </row>
    <row r="35" spans="1:5" x14ac:dyDescent="0.25">
      <c r="A35" t="s">
        <v>126</v>
      </c>
      <c r="B35" s="71" t="s">
        <v>274</v>
      </c>
      <c r="C35">
        <f t="shared" si="0"/>
        <v>0</v>
      </c>
      <c r="D35" s="8">
        <f>VLOOKUP(B35,Tabelas!A:C,3,FALSE)</f>
        <v>0</v>
      </c>
      <c r="E35" s="2">
        <f>VLOOKUP(B35,Tabelas!A:C,2,FALSE)</f>
        <v>0</v>
      </c>
    </row>
    <row r="36" spans="1:5" x14ac:dyDescent="0.25">
      <c r="A36" t="s">
        <v>70</v>
      </c>
      <c r="B36" s="71" t="s">
        <v>302</v>
      </c>
      <c r="C36">
        <f t="shared" si="0"/>
        <v>1</v>
      </c>
      <c r="D36" s="8">
        <f>VLOOKUP(B36,Tabelas!A:C,3,FALSE)</f>
        <v>1</v>
      </c>
      <c r="E36" s="2">
        <f>VLOOKUP(B36,Tabelas!A:C,2,FALSE)</f>
        <v>1</v>
      </c>
    </row>
    <row r="37" spans="1:5" x14ac:dyDescent="0.25">
      <c r="A37" t="s">
        <v>303</v>
      </c>
      <c r="B37" s="71" t="s">
        <v>274</v>
      </c>
      <c r="C37">
        <f t="shared" si="0"/>
        <v>0</v>
      </c>
      <c r="D37" s="8">
        <f>VLOOKUP(B37,Tabelas!A:C,3,FALSE)</f>
        <v>0</v>
      </c>
      <c r="E37" s="2">
        <f>VLOOKUP(B37,Tabelas!A:C,2,FALSE)</f>
        <v>0</v>
      </c>
    </row>
    <row r="38" spans="1:5" x14ac:dyDescent="0.25">
      <c r="A38" t="s">
        <v>169</v>
      </c>
      <c r="B38" s="74" t="s">
        <v>276</v>
      </c>
      <c r="C38">
        <f t="shared" ref="C38:C73" si="1">IF(B38&lt;&gt;"NI",1,0)</f>
        <v>1</v>
      </c>
      <c r="D38" s="8">
        <f>VLOOKUP(B38,Tabelas!A:C,3,FALSE)</f>
        <v>1</v>
      </c>
      <c r="E38" s="2">
        <f>VLOOKUP(B38,Tabelas!A:C,2,FALSE)</f>
        <v>0.875</v>
      </c>
    </row>
    <row r="39" spans="1:5" x14ac:dyDescent="0.25">
      <c r="A39" t="s">
        <v>304</v>
      </c>
      <c r="B39" s="71" t="s">
        <v>274</v>
      </c>
      <c r="C39">
        <f t="shared" si="1"/>
        <v>0</v>
      </c>
      <c r="D39" s="8">
        <f>VLOOKUP(B39,Tabelas!A:C,3,FALSE)</f>
        <v>0</v>
      </c>
      <c r="E39" s="2">
        <f>VLOOKUP(B39,Tabelas!A:C,2,FALSE)</f>
        <v>0</v>
      </c>
    </row>
    <row r="40" spans="1:5" x14ac:dyDescent="0.25">
      <c r="A40" t="s">
        <v>305</v>
      </c>
      <c r="B40" s="71" t="s">
        <v>283</v>
      </c>
      <c r="C40">
        <f t="shared" si="1"/>
        <v>1</v>
      </c>
      <c r="D40" s="8">
        <f>VLOOKUP(B40,Tabelas!A:C,3,FALSE)</f>
        <v>0</v>
      </c>
      <c r="E40" s="2">
        <f>VLOOKUP(B40,Tabelas!A:C,2,FALSE)</f>
        <v>0.1</v>
      </c>
    </row>
    <row r="41" spans="1:5" x14ac:dyDescent="0.25">
      <c r="A41" t="s">
        <v>142</v>
      </c>
      <c r="B41" s="71" t="s">
        <v>278</v>
      </c>
      <c r="C41">
        <f t="shared" si="1"/>
        <v>1</v>
      </c>
      <c r="D41" s="8">
        <v>1</v>
      </c>
      <c r="E41" s="2">
        <f>VLOOKUP(B41,Tabelas!A:C,2,FALSE)</f>
        <v>0.5</v>
      </c>
    </row>
    <row r="42" spans="1:5" x14ac:dyDescent="0.25">
      <c r="A42" t="s">
        <v>306</v>
      </c>
      <c r="B42" s="74" t="s">
        <v>274</v>
      </c>
      <c r="C42">
        <f t="shared" si="1"/>
        <v>0</v>
      </c>
      <c r="D42" s="8">
        <f>VLOOKUP(B42,Tabelas!A:C,3,FALSE)</f>
        <v>0</v>
      </c>
      <c r="E42" s="2">
        <f>VLOOKUP(B42,Tabelas!A:C,2,FALSE)</f>
        <v>0</v>
      </c>
    </row>
    <row r="43" spans="1:5" x14ac:dyDescent="0.25">
      <c r="A43" t="s">
        <v>307</v>
      </c>
      <c r="B43" s="71" t="s">
        <v>278</v>
      </c>
      <c r="C43">
        <f t="shared" si="1"/>
        <v>1</v>
      </c>
      <c r="D43" s="8">
        <f>VLOOKUP(B43,Tabelas!A:C,3,FALSE)</f>
        <v>0</v>
      </c>
      <c r="E43" s="2">
        <f>VLOOKUP(B43,Tabelas!A:C,2,FALSE)</f>
        <v>0.5</v>
      </c>
    </row>
    <row r="44" spans="1:5" x14ac:dyDescent="0.25">
      <c r="A44" t="s">
        <v>308</v>
      </c>
      <c r="B44" s="71" t="s">
        <v>274</v>
      </c>
      <c r="C44">
        <f t="shared" si="1"/>
        <v>0</v>
      </c>
      <c r="D44" s="8">
        <f>VLOOKUP(B44,Tabelas!A:C,3,FALSE)</f>
        <v>0</v>
      </c>
      <c r="E44" s="2">
        <f>VLOOKUP(B44,Tabelas!A:C,2,FALSE)</f>
        <v>0</v>
      </c>
    </row>
    <row r="45" spans="1:5" x14ac:dyDescent="0.25">
      <c r="A45" t="s">
        <v>309</v>
      </c>
      <c r="B45" s="74" t="s">
        <v>288</v>
      </c>
      <c r="C45">
        <f t="shared" si="1"/>
        <v>1</v>
      </c>
      <c r="D45" s="8">
        <f>VLOOKUP(B45,Tabelas!A:C,3,FALSE)</f>
        <v>0</v>
      </c>
      <c r="E45" s="2">
        <f>VLOOKUP(B45,Tabelas!A:C,2,FALSE)</f>
        <v>0.2</v>
      </c>
    </row>
    <row r="46" spans="1:5" x14ac:dyDescent="0.25">
      <c r="A46" t="s">
        <v>310</v>
      </c>
      <c r="B46" s="74" t="s">
        <v>280</v>
      </c>
      <c r="C46">
        <f t="shared" si="1"/>
        <v>1</v>
      </c>
      <c r="D46" s="8">
        <f>VLOOKUP(B46,Tabelas!A:C,3,FALSE)</f>
        <v>1</v>
      </c>
      <c r="E46" s="2">
        <f>VLOOKUP(B46,Tabelas!A:C,2,FALSE)</f>
        <v>0.625</v>
      </c>
    </row>
    <row r="47" spans="1:5" x14ac:dyDescent="0.25">
      <c r="A47" t="s">
        <v>311</v>
      </c>
      <c r="B47" s="74" t="s">
        <v>299</v>
      </c>
      <c r="C47">
        <f t="shared" si="1"/>
        <v>1</v>
      </c>
      <c r="D47" s="8">
        <f>VLOOKUP(B47,Tabelas!A:C,3,FALSE)</f>
        <v>1</v>
      </c>
      <c r="E47" s="2">
        <f>VLOOKUP(B47,Tabelas!A:C,2,FALSE)</f>
        <v>0.75</v>
      </c>
    </row>
    <row r="48" spans="1:5" x14ac:dyDescent="0.25">
      <c r="A48" t="s">
        <v>99</v>
      </c>
      <c r="B48" s="74" t="s">
        <v>299</v>
      </c>
      <c r="C48">
        <f t="shared" si="1"/>
        <v>1</v>
      </c>
      <c r="D48" s="8">
        <f>VLOOKUP(B48,Tabelas!A:C,3,FALSE)</f>
        <v>1</v>
      </c>
      <c r="E48" s="2">
        <f>VLOOKUP(B48,Tabelas!A:C,2,FALSE)</f>
        <v>0.75</v>
      </c>
    </row>
    <row r="49" spans="1:5" x14ac:dyDescent="0.25">
      <c r="A49" t="s">
        <v>312</v>
      </c>
      <c r="B49" s="71" t="s">
        <v>274</v>
      </c>
      <c r="C49">
        <f t="shared" si="1"/>
        <v>0</v>
      </c>
      <c r="D49" s="8">
        <f>VLOOKUP(B49,Tabelas!A:C,3,FALSE)</f>
        <v>0</v>
      </c>
      <c r="E49" s="2">
        <f>VLOOKUP(B49,Tabelas!A:C,2,FALSE)</f>
        <v>0</v>
      </c>
    </row>
    <row r="50" spans="1:5" x14ac:dyDescent="0.25">
      <c r="A50" t="s">
        <v>313</v>
      </c>
      <c r="B50" s="74" t="s">
        <v>278</v>
      </c>
      <c r="C50">
        <f t="shared" si="1"/>
        <v>1</v>
      </c>
      <c r="D50" s="8">
        <f>VLOOKUP(B50,Tabelas!A:C,3,FALSE)</f>
        <v>0</v>
      </c>
      <c r="E50" s="2">
        <f>VLOOKUP(B50,Tabelas!A:C,2,FALSE)</f>
        <v>0.5</v>
      </c>
    </row>
    <row r="51" spans="1:5" x14ac:dyDescent="0.25">
      <c r="A51" t="s">
        <v>314</v>
      </c>
      <c r="B51" s="71" t="s">
        <v>274</v>
      </c>
      <c r="C51">
        <f t="shared" si="1"/>
        <v>0</v>
      </c>
      <c r="D51" s="8">
        <f>VLOOKUP(B51,Tabelas!A:C,3,FALSE)</f>
        <v>0</v>
      </c>
      <c r="E51" s="2">
        <f>VLOOKUP(B51,Tabelas!A:C,2,FALSE)</f>
        <v>0</v>
      </c>
    </row>
    <row r="52" spans="1:5" x14ac:dyDescent="0.25">
      <c r="A52" t="s">
        <v>314</v>
      </c>
      <c r="B52" s="71" t="s">
        <v>274</v>
      </c>
      <c r="C52">
        <f t="shared" si="1"/>
        <v>0</v>
      </c>
      <c r="D52" s="8">
        <f>VLOOKUP(B52,Tabelas!A:C,3,FALSE)</f>
        <v>0</v>
      </c>
      <c r="E52" s="2">
        <f>VLOOKUP(B52,Tabelas!A:C,2,FALSE)</f>
        <v>0</v>
      </c>
    </row>
    <row r="53" spans="1:5" x14ac:dyDescent="0.25">
      <c r="A53" t="s">
        <v>315</v>
      </c>
      <c r="B53" s="71" t="s">
        <v>274</v>
      </c>
      <c r="C53">
        <f t="shared" si="1"/>
        <v>0</v>
      </c>
      <c r="D53" s="8">
        <f>VLOOKUP(B53,Tabelas!A:C,3,FALSE)</f>
        <v>0</v>
      </c>
      <c r="E53" s="2">
        <f>VLOOKUP(B53,Tabelas!A:C,2,FALSE)</f>
        <v>0</v>
      </c>
    </row>
    <row r="54" spans="1:5" x14ac:dyDescent="0.25">
      <c r="A54" t="s">
        <v>316</v>
      </c>
      <c r="B54" s="71" t="s">
        <v>274</v>
      </c>
      <c r="C54">
        <f t="shared" si="1"/>
        <v>0</v>
      </c>
      <c r="D54" s="8">
        <f>VLOOKUP(B54,Tabelas!A:C,3,FALSE)</f>
        <v>0</v>
      </c>
      <c r="E54" s="2">
        <f>VLOOKUP(B54,Tabelas!A:C,2,FALSE)</f>
        <v>0</v>
      </c>
    </row>
    <row r="55" spans="1:5" x14ac:dyDescent="0.25">
      <c r="A55" t="s">
        <v>317</v>
      </c>
      <c r="B55" s="71" t="s">
        <v>274</v>
      </c>
      <c r="C55">
        <f t="shared" si="1"/>
        <v>0</v>
      </c>
      <c r="D55" s="8">
        <f>VLOOKUP(B55,Tabelas!A:C,3,FALSE)</f>
        <v>0</v>
      </c>
      <c r="E55" s="2">
        <f>VLOOKUP(B55,Tabelas!A:C,2,FALSE)</f>
        <v>0</v>
      </c>
    </row>
    <row r="56" spans="1:5" x14ac:dyDescent="0.25">
      <c r="A56" t="s">
        <v>113</v>
      </c>
      <c r="B56" s="74" t="s">
        <v>288</v>
      </c>
      <c r="C56">
        <f t="shared" si="1"/>
        <v>1</v>
      </c>
      <c r="D56" s="8">
        <f>VLOOKUP(B56,Tabelas!A:C,3,FALSE)</f>
        <v>0</v>
      </c>
      <c r="E56" s="2">
        <f>VLOOKUP(B56,Tabelas!A:C,2,FALSE)</f>
        <v>0.2</v>
      </c>
    </row>
    <row r="57" spans="1:5" x14ac:dyDescent="0.25">
      <c r="A57" t="s">
        <v>318</v>
      </c>
      <c r="B57" s="74" t="s">
        <v>274</v>
      </c>
      <c r="C57">
        <f t="shared" si="1"/>
        <v>0</v>
      </c>
      <c r="D57" s="8">
        <f>VLOOKUP(B57,Tabelas!A:C,3,FALSE)</f>
        <v>0</v>
      </c>
      <c r="E57" s="2">
        <f>VLOOKUP(B57,Tabelas!A:C,2,FALSE)</f>
        <v>0</v>
      </c>
    </row>
    <row r="58" spans="1:5" x14ac:dyDescent="0.25">
      <c r="A58" t="s">
        <v>67</v>
      </c>
      <c r="B58" s="74" t="s">
        <v>274</v>
      </c>
      <c r="C58">
        <f t="shared" si="1"/>
        <v>0</v>
      </c>
      <c r="D58" s="8">
        <f>VLOOKUP(B58,Tabelas!A:C,3,FALSE)</f>
        <v>0</v>
      </c>
      <c r="E58" s="2">
        <f>VLOOKUP(B58,Tabelas!A:C,2,FALSE)</f>
        <v>0</v>
      </c>
    </row>
    <row r="59" spans="1:5" x14ac:dyDescent="0.25">
      <c r="A59" t="s">
        <v>81</v>
      </c>
      <c r="B59" s="74" t="s">
        <v>280</v>
      </c>
      <c r="C59">
        <f t="shared" si="1"/>
        <v>1</v>
      </c>
      <c r="D59" s="8">
        <f>VLOOKUP(B59,Tabelas!A:C,3,FALSE)</f>
        <v>1</v>
      </c>
      <c r="E59" s="2">
        <f>VLOOKUP(B59,Tabelas!A:C,2,FALSE)</f>
        <v>0.625</v>
      </c>
    </row>
    <row r="60" spans="1:5" x14ac:dyDescent="0.25">
      <c r="A60" t="s">
        <v>95</v>
      </c>
      <c r="B60" s="74" t="s">
        <v>299</v>
      </c>
      <c r="C60">
        <f t="shared" si="1"/>
        <v>1</v>
      </c>
      <c r="D60" s="8">
        <f>VLOOKUP(B60,Tabelas!A:C,3,FALSE)</f>
        <v>1</v>
      </c>
      <c r="E60" s="2">
        <f>VLOOKUP(B60,Tabelas!A:C,2,FALSE)</f>
        <v>0.75</v>
      </c>
    </row>
    <row r="61" spans="1:5" x14ac:dyDescent="0.25">
      <c r="A61" t="s">
        <v>83</v>
      </c>
      <c r="B61" s="74" t="s">
        <v>278</v>
      </c>
      <c r="C61">
        <f t="shared" si="1"/>
        <v>1</v>
      </c>
      <c r="D61" s="8">
        <f>VLOOKUP(B61,Tabelas!A:C,3,FALSE)</f>
        <v>0</v>
      </c>
      <c r="E61" s="2">
        <f>VLOOKUP(B61,Tabelas!A:C,2,FALSE)</f>
        <v>0.5</v>
      </c>
    </row>
    <row r="62" spans="1:5" x14ac:dyDescent="0.25">
      <c r="A62" t="s">
        <v>138</v>
      </c>
      <c r="B62" s="74" t="s">
        <v>283</v>
      </c>
      <c r="C62">
        <f t="shared" si="1"/>
        <v>1</v>
      </c>
      <c r="D62" s="8">
        <f>VLOOKUP(B62,Tabelas!A:C,3,FALSE)</f>
        <v>0</v>
      </c>
      <c r="E62" s="2">
        <f>VLOOKUP(B62,Tabelas!A:C,2,FALSE)</f>
        <v>0.1</v>
      </c>
    </row>
    <row r="63" spans="1:5" x14ac:dyDescent="0.25">
      <c r="A63" t="s">
        <v>104</v>
      </c>
      <c r="B63" s="74" t="s">
        <v>288</v>
      </c>
      <c r="C63">
        <f t="shared" si="1"/>
        <v>1</v>
      </c>
      <c r="D63" s="8">
        <f>VLOOKUP(B63,Tabelas!A:C,3,FALSE)</f>
        <v>0</v>
      </c>
      <c r="E63" s="2">
        <f>VLOOKUP(B63,Tabelas!A:C,2,FALSE)</f>
        <v>0.2</v>
      </c>
    </row>
    <row r="64" spans="1:5" x14ac:dyDescent="0.25">
      <c r="A64" t="s">
        <v>319</v>
      </c>
      <c r="B64" s="71" t="s">
        <v>274</v>
      </c>
      <c r="C64">
        <f t="shared" si="1"/>
        <v>0</v>
      </c>
      <c r="D64" s="8">
        <f>VLOOKUP(B64,Tabelas!A:C,3,FALSE)</f>
        <v>0</v>
      </c>
      <c r="E64" s="2">
        <f>VLOOKUP(B64,Tabelas!A:C,2,FALSE)</f>
        <v>0</v>
      </c>
    </row>
    <row r="65" spans="1:5" x14ac:dyDescent="0.25">
      <c r="A65" t="s">
        <v>320</v>
      </c>
      <c r="B65" s="71" t="s">
        <v>274</v>
      </c>
      <c r="C65">
        <f t="shared" si="1"/>
        <v>0</v>
      </c>
      <c r="D65" s="8">
        <f>VLOOKUP(B65,Tabelas!A:C,3,FALSE)</f>
        <v>0</v>
      </c>
      <c r="E65" s="2">
        <f>VLOOKUP(B65,Tabelas!A:C,2,FALSE)</f>
        <v>0</v>
      </c>
    </row>
    <row r="66" spans="1:5" x14ac:dyDescent="0.25">
      <c r="A66" t="s">
        <v>321</v>
      </c>
      <c r="B66" s="74" t="s">
        <v>278</v>
      </c>
      <c r="C66">
        <f t="shared" si="1"/>
        <v>1</v>
      </c>
      <c r="D66" s="8">
        <f>VLOOKUP(B66,Tabelas!A:C,3,FALSE)</f>
        <v>0</v>
      </c>
      <c r="E66" s="2">
        <f>VLOOKUP(B66,Tabelas!A:C,2,FALSE)</f>
        <v>0.5</v>
      </c>
    </row>
    <row r="67" spans="1:5" x14ac:dyDescent="0.25">
      <c r="A67" t="s">
        <v>322</v>
      </c>
      <c r="B67" s="74" t="s">
        <v>278</v>
      </c>
      <c r="C67">
        <f t="shared" si="1"/>
        <v>1</v>
      </c>
      <c r="D67" s="8">
        <f>VLOOKUP(B67,Tabelas!A:C,3,FALSE)</f>
        <v>0</v>
      </c>
      <c r="E67" s="2">
        <f>VLOOKUP(B67,Tabelas!A:C,2,FALSE)</f>
        <v>0.5</v>
      </c>
    </row>
    <row r="68" spans="1:5" x14ac:dyDescent="0.25">
      <c r="A68" s="1" t="s">
        <v>147</v>
      </c>
      <c r="B68" s="71" t="s">
        <v>278</v>
      </c>
      <c r="C68">
        <f t="shared" si="1"/>
        <v>1</v>
      </c>
      <c r="D68" s="8">
        <f>VLOOKUP(B68,Tabelas!A:C,3,FALSE)</f>
        <v>0</v>
      </c>
      <c r="E68" s="2">
        <f>VLOOKUP(B68,Tabelas!A:C,2,FALSE)</f>
        <v>0.5</v>
      </c>
    </row>
    <row r="69" spans="1:5" x14ac:dyDescent="0.25">
      <c r="A69" t="s">
        <v>323</v>
      </c>
      <c r="B69" s="74" t="s">
        <v>283</v>
      </c>
      <c r="C69">
        <f t="shared" si="1"/>
        <v>1</v>
      </c>
      <c r="D69" s="8">
        <f>VLOOKUP(B69,Tabelas!A:C,3,FALSE)</f>
        <v>0</v>
      </c>
      <c r="E69" s="2">
        <f>VLOOKUP(B69,Tabelas!A:C,2,FALSE)</f>
        <v>0.1</v>
      </c>
    </row>
    <row r="70" spans="1:5" x14ac:dyDescent="0.25">
      <c r="A70" t="s">
        <v>324</v>
      </c>
      <c r="B70" s="74" t="s">
        <v>281</v>
      </c>
      <c r="C70">
        <f t="shared" si="1"/>
        <v>1</v>
      </c>
      <c r="D70" s="8">
        <f>VLOOKUP(B70,Tabelas!A:C,3,FALSE)</f>
        <v>0</v>
      </c>
      <c r="E70" s="2">
        <f>VLOOKUP(B70,Tabelas!A:C,2,FALSE)</f>
        <v>0.05</v>
      </c>
    </row>
    <row r="71" spans="1:5" x14ac:dyDescent="0.25">
      <c r="A71" t="s">
        <v>325</v>
      </c>
      <c r="B71" s="71" t="s">
        <v>274</v>
      </c>
      <c r="C71">
        <f t="shared" si="1"/>
        <v>0</v>
      </c>
      <c r="D71" s="8">
        <f>VLOOKUP(B71,Tabelas!A:C,3,FALSE)</f>
        <v>0</v>
      </c>
      <c r="E71" s="2">
        <f>VLOOKUP(B71,Tabelas!A:C,2,FALSE)</f>
        <v>0</v>
      </c>
    </row>
    <row r="72" spans="1:5" x14ac:dyDescent="0.25">
      <c r="A72" t="s">
        <v>326</v>
      </c>
      <c r="B72" s="71" t="s">
        <v>274</v>
      </c>
      <c r="C72">
        <f t="shared" si="1"/>
        <v>0</v>
      </c>
      <c r="D72" s="8">
        <f>VLOOKUP(B72,Tabelas!A:C,3,FALSE)</f>
        <v>0</v>
      </c>
      <c r="E72" s="2">
        <f>VLOOKUP(B72,Tabelas!A:C,2,FALSE)</f>
        <v>0</v>
      </c>
    </row>
    <row r="73" spans="1:5" x14ac:dyDescent="0.25">
      <c r="A73" t="s">
        <v>327</v>
      </c>
      <c r="B73" s="71" t="s">
        <v>274</v>
      </c>
      <c r="C73">
        <f t="shared" si="1"/>
        <v>0</v>
      </c>
      <c r="D73" s="8">
        <f>VLOOKUP(B73,Tabelas!A:C,3,FALSE)</f>
        <v>0</v>
      </c>
      <c r="E73" s="2">
        <f>VLOOKUP(B73,Tabelas!A:C,2,FALSE)</f>
        <v>0</v>
      </c>
    </row>
    <row r="74" spans="1:5" x14ac:dyDescent="0.25">
      <c r="A74" t="s">
        <v>328</v>
      </c>
      <c r="B74" s="71" t="s">
        <v>281</v>
      </c>
      <c r="C74">
        <f t="shared" ref="C74:C77" si="2">IF(B74&lt;&gt;"NI",1,0)</f>
        <v>1</v>
      </c>
      <c r="D74" s="8">
        <f>VLOOKUP(B74,Tabelas!A:C,3,FALSE)</f>
        <v>0</v>
      </c>
      <c r="E74" s="2">
        <f>VLOOKUP(B74,Tabelas!A:C,2,FALSE)</f>
        <v>0.05</v>
      </c>
    </row>
    <row r="75" spans="1:5" x14ac:dyDescent="0.25">
      <c r="A75" t="s">
        <v>329</v>
      </c>
      <c r="B75" s="71" t="s">
        <v>274</v>
      </c>
      <c r="C75">
        <f t="shared" si="2"/>
        <v>0</v>
      </c>
      <c r="D75" s="8">
        <f>VLOOKUP(B75,Tabelas!A:C,3,FALSE)</f>
        <v>0</v>
      </c>
      <c r="E75" s="2">
        <f>VLOOKUP(B75,Tabelas!A:C,2,FALSE)</f>
        <v>0</v>
      </c>
    </row>
    <row r="76" spans="1:5" x14ac:dyDescent="0.25">
      <c r="A76" t="s">
        <v>132</v>
      </c>
      <c r="B76" s="71" t="s">
        <v>274</v>
      </c>
      <c r="C76">
        <f t="shared" si="2"/>
        <v>0</v>
      </c>
      <c r="D76" s="8">
        <f>VLOOKUP(B76,Tabelas!A:C,3,FALSE)</f>
        <v>0</v>
      </c>
      <c r="E76" s="2">
        <f>VLOOKUP(B76,Tabelas!A:C,2,FALSE)</f>
        <v>0</v>
      </c>
    </row>
    <row r="77" spans="1:5" x14ac:dyDescent="0.25">
      <c r="A77" t="s">
        <v>330</v>
      </c>
      <c r="B77" s="71" t="s">
        <v>274</v>
      </c>
      <c r="C77">
        <f t="shared" si="2"/>
        <v>0</v>
      </c>
      <c r="D77" s="8">
        <f>VLOOKUP(B77,Tabelas!A:C,3,FALSE)</f>
        <v>0</v>
      </c>
      <c r="E77" s="2">
        <f>VLOOKUP(B77,Tabelas!A:C,2,FALSE)</f>
        <v>0</v>
      </c>
    </row>
    <row r="78" spans="1:5" x14ac:dyDescent="0.25">
      <c r="A78" s="136" t="s">
        <v>688</v>
      </c>
      <c r="B78" s="71" t="s">
        <v>274</v>
      </c>
      <c r="C78">
        <f t="shared" ref="C78" si="3">IF(B78&lt;&gt;"NI",1,0)</f>
        <v>0</v>
      </c>
      <c r="D78" s="8">
        <f>VLOOKUP(B78,Tabelas!A:C,3,FALSE)</f>
        <v>0</v>
      </c>
      <c r="E78" s="2">
        <f>VLOOKUP(B78,Tabelas!A:C,2,FALSE)</f>
        <v>0</v>
      </c>
    </row>
  </sheetData>
  <sortState xmlns:xlrd2="http://schemas.microsoft.com/office/spreadsheetml/2017/richdata2" ref="A2:E77">
    <sortCondition ref="A2:A7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BFAC-30BD-47A1-9402-9D784B004D19}">
  <dimension ref="A1:M123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defaultColWidth="8.875" defaultRowHeight="15.75" x14ac:dyDescent="0.25"/>
  <cols>
    <col min="1" max="1" width="69.125" bestFit="1" customWidth="1"/>
    <col min="2" max="2" width="5.875" style="132" customWidth="1"/>
    <col min="3" max="3" width="5.875" style="71" customWidth="1"/>
    <col min="4" max="4" width="5.875" style="142" customWidth="1"/>
    <col min="5" max="5" width="5.875" style="143" customWidth="1"/>
    <col min="6" max="6" width="1.625" style="71" customWidth="1"/>
    <col min="7" max="7" width="20.125" style="75" customWidth="1"/>
    <col min="8" max="8" width="11.875" style="75" bestFit="1" customWidth="1"/>
    <col min="9" max="9" width="10.625" style="75" bestFit="1" customWidth="1"/>
    <col min="10" max="10" width="12.125" style="71" customWidth="1"/>
    <col min="11" max="11" width="9" style="143"/>
    <col min="12" max="12" width="10.625" style="132" bestFit="1" customWidth="1"/>
    <col min="13" max="13" width="9" style="144"/>
  </cols>
  <sheetData>
    <row r="1" spans="1:13" x14ac:dyDescent="0.25">
      <c r="A1" t="s">
        <v>37</v>
      </c>
      <c r="B1" s="132" t="s">
        <v>60</v>
      </c>
      <c r="C1" s="140" t="s">
        <v>271</v>
      </c>
      <c r="D1" s="142" t="s">
        <v>22</v>
      </c>
      <c r="E1" s="143" t="s">
        <v>272</v>
      </c>
      <c r="G1" s="141" t="s">
        <v>331</v>
      </c>
      <c r="H1" s="141" t="s">
        <v>332</v>
      </c>
      <c r="I1" s="141" t="s">
        <v>333</v>
      </c>
      <c r="J1" s="141" t="s">
        <v>334</v>
      </c>
      <c r="K1" s="143" t="s">
        <v>335</v>
      </c>
      <c r="L1" s="132" t="s">
        <v>336</v>
      </c>
      <c r="M1" s="144" t="s">
        <v>337</v>
      </c>
    </row>
    <row r="2" spans="1:13" x14ac:dyDescent="0.25">
      <c r="A2" t="s">
        <v>237</v>
      </c>
      <c r="B2" s="145" t="str">
        <f t="shared" ref="B2:B33" si="0">IF(M2&gt;1-1/8,"A1",IF(M2&gt;1-2/8,"A2",IF(M2&gt;1-3/8,"A3",IF(M2&gt;1/2,"A4",IF(M2&gt;1-5/8,"B1",IF(M2&gt;=0.2,"B2",IF(M2&gt;=0.1,"B3",IF(M2&gt;=0.05,"B4","NA"))))))))</f>
        <v>A2</v>
      </c>
      <c r="C2" s="71">
        <v>1</v>
      </c>
      <c r="D2" s="142">
        <f>VLOOKUP(B2,Tabelas!A:C,3,FALSE)</f>
        <v>1</v>
      </c>
      <c r="E2" s="143">
        <f>VLOOKUP(B2,Tabelas!A:C,2,FALSE)</f>
        <v>0.875</v>
      </c>
      <c r="G2" s="75" t="s">
        <v>338</v>
      </c>
      <c r="H2" s="146">
        <v>0.54969999999999997</v>
      </c>
      <c r="I2" s="146">
        <v>0.81</v>
      </c>
      <c r="J2" s="71" t="s">
        <v>276</v>
      </c>
      <c r="K2" s="132" t="str">
        <f t="shared" ref="K2:K33" si="1">IF(H2&gt;1-1/8,"A1",IF(H2&gt;1-2/8,"A2",IF(H2&gt;1-3/8,"A3",IF(H2&gt;1/2,"A4",IF(H2&gt;1-5/8,"B1",IF(H2&gt;1-6/8,"B2",IF(H2&gt;1-7/8,"B3",IF(H2&gt;0,"B4","NA"))))))))</f>
        <v>A4</v>
      </c>
      <c r="L2" s="132" t="str">
        <f t="shared" ref="L2:L33" si="2">IF(I2&gt;1-1/8,"A1",IF(I2&gt;1-2/8,"A2",IF(I2&gt;1-3/8,"A3",IF(I2&gt;1/2,"A4",IF(I2&gt;1-5/8,"B1",IF(I2&gt;1-6/8,"B2",IF(I2&gt;1-7/8,"B3",IF(I2&gt;0,"B4","NA"))))))))</f>
        <v>A2</v>
      </c>
      <c r="M2" s="144">
        <f>MAX(VLOOKUP(L2,Tabelas!A:C,2,FALSE),VLOOKUP(K2,Tabelas!A:C,2,FALSE),VLOOKUP(J2,Tabelas!A:C,2,FALSE))</f>
        <v>0.875</v>
      </c>
    </row>
    <row r="3" spans="1:13" x14ac:dyDescent="0.25">
      <c r="A3" t="s">
        <v>339</v>
      </c>
      <c r="B3" s="145" t="str">
        <f t="shared" si="0"/>
        <v>B2</v>
      </c>
      <c r="C3" s="71">
        <v>1</v>
      </c>
      <c r="D3" s="142">
        <f>VLOOKUP(B3,Tabelas!A:C,3,FALSE)</f>
        <v>0</v>
      </c>
      <c r="E3" s="143">
        <f>VLOOKUP(B3,Tabelas!A:C,2,FALSE)</f>
        <v>0.2</v>
      </c>
      <c r="G3" s="75" t="s">
        <v>340</v>
      </c>
      <c r="H3" s="146"/>
      <c r="I3" s="146">
        <v>0.27</v>
      </c>
      <c r="J3" s="71" t="s">
        <v>288</v>
      </c>
      <c r="K3" s="132" t="str">
        <f t="shared" si="1"/>
        <v>NA</v>
      </c>
      <c r="L3" s="132" t="str">
        <f t="shared" si="2"/>
        <v>B2</v>
      </c>
      <c r="M3" s="144">
        <f>MAX(VLOOKUP(L3,Tabelas!A:C,2,FALSE),VLOOKUP(K3,Tabelas!A:C,2,FALSE),VLOOKUP(J3,Tabelas!A:C,2,FALSE))</f>
        <v>0.2</v>
      </c>
    </row>
    <row r="4" spans="1:13" x14ac:dyDescent="0.25">
      <c r="A4" t="s">
        <v>341</v>
      </c>
      <c r="B4" s="145" t="str">
        <f t="shared" si="0"/>
        <v>A3</v>
      </c>
      <c r="C4" s="71">
        <v>1</v>
      </c>
      <c r="D4" s="142">
        <f>VLOOKUP(B4,Tabelas!A:C,3,FALSE)</f>
        <v>1</v>
      </c>
      <c r="E4" s="143">
        <f>VLOOKUP(B4,Tabelas!A:C,2,FALSE)</f>
        <v>0.75</v>
      </c>
      <c r="G4" s="75" t="s">
        <v>342</v>
      </c>
      <c r="H4" s="146">
        <v>0.1157</v>
      </c>
      <c r="I4" s="146">
        <v>0.67</v>
      </c>
      <c r="J4" s="71" t="s">
        <v>299</v>
      </c>
      <c r="K4" s="132" t="str">
        <f t="shared" si="1"/>
        <v>B4</v>
      </c>
      <c r="L4" s="132" t="str">
        <f t="shared" si="2"/>
        <v>A3</v>
      </c>
      <c r="M4" s="144">
        <f>MAX(VLOOKUP(L4,Tabelas!A:C,2,FALSE),VLOOKUP(K4,Tabelas!A:C,2,FALSE),VLOOKUP(J4,Tabelas!A:C,2,FALSE))</f>
        <v>0.75</v>
      </c>
    </row>
    <row r="5" spans="1:13" x14ac:dyDescent="0.25">
      <c r="A5" t="s">
        <v>343</v>
      </c>
      <c r="B5" s="145" t="str">
        <f t="shared" si="0"/>
        <v>A2</v>
      </c>
      <c r="C5" s="71">
        <v>1</v>
      </c>
      <c r="D5" s="142">
        <f>VLOOKUP(B5,Tabelas!A:C,3,FALSE)</f>
        <v>1</v>
      </c>
      <c r="E5" s="143">
        <f>VLOOKUP(B5,Tabelas!A:C,2,FALSE)</f>
        <v>0.875</v>
      </c>
      <c r="G5" s="75" t="s">
        <v>344</v>
      </c>
      <c r="H5" s="146">
        <v>0.66820000000000002</v>
      </c>
      <c r="I5" s="146">
        <v>0.69</v>
      </c>
      <c r="J5" s="71" t="s">
        <v>276</v>
      </c>
      <c r="K5" s="132" t="str">
        <f t="shared" si="1"/>
        <v>A3</v>
      </c>
      <c r="L5" s="132" t="str">
        <f t="shared" si="2"/>
        <v>A3</v>
      </c>
      <c r="M5" s="144">
        <f>MAX(VLOOKUP(L5,Tabelas!A:C,2,FALSE),VLOOKUP(K5,Tabelas!A:C,2,FALSE),VLOOKUP(J5,Tabelas!A:C,2,FALSE))</f>
        <v>0.875</v>
      </c>
    </row>
    <row r="6" spans="1:13" x14ac:dyDescent="0.25">
      <c r="A6" t="s">
        <v>345</v>
      </c>
      <c r="B6" s="145" t="str">
        <f t="shared" si="0"/>
        <v>A1</v>
      </c>
      <c r="C6" s="71">
        <v>1</v>
      </c>
      <c r="D6" s="142">
        <f>VLOOKUP(B6,Tabelas!A:C,3,FALSE)</f>
        <v>1</v>
      </c>
      <c r="E6" s="143">
        <f>VLOOKUP(B6,Tabelas!A:C,2,FALSE)</f>
        <v>1</v>
      </c>
      <c r="G6" s="75" t="s">
        <v>346</v>
      </c>
      <c r="H6" s="146">
        <v>0.83089999999999997</v>
      </c>
      <c r="I6" s="146">
        <v>0.93</v>
      </c>
      <c r="J6" s="71" t="s">
        <v>302</v>
      </c>
      <c r="K6" s="132" t="str">
        <f t="shared" si="1"/>
        <v>A2</v>
      </c>
      <c r="L6" s="132" t="str">
        <f t="shared" si="2"/>
        <v>A1</v>
      </c>
      <c r="M6" s="144">
        <f>MAX(VLOOKUP(L6,Tabelas!A:C,2,FALSE),VLOOKUP(K6,Tabelas!A:C,2,FALSE),VLOOKUP(J6,Tabelas!A:C,2,FALSE))</f>
        <v>1</v>
      </c>
    </row>
    <row r="7" spans="1:13" x14ac:dyDescent="0.25">
      <c r="A7" t="s">
        <v>202</v>
      </c>
      <c r="B7" s="145" t="str">
        <f t="shared" si="0"/>
        <v>B1</v>
      </c>
      <c r="C7" s="71">
        <v>0</v>
      </c>
      <c r="D7" s="142">
        <f>VLOOKUP(B7,Tabelas!A:C,3,FALSE)</f>
        <v>0</v>
      </c>
      <c r="E7" s="143">
        <f>VLOOKUP(B7,Tabelas!A:C,2,FALSE)</f>
        <v>0.5</v>
      </c>
      <c r="G7" s="75" t="s">
        <v>424</v>
      </c>
      <c r="H7" s="146">
        <v>0.15</v>
      </c>
      <c r="I7" s="146">
        <v>0.43</v>
      </c>
      <c r="J7" s="71" t="s">
        <v>425</v>
      </c>
      <c r="K7" s="132" t="str">
        <f t="shared" si="1"/>
        <v>B3</v>
      </c>
      <c r="L7" s="132" t="str">
        <f t="shared" si="2"/>
        <v>B1</v>
      </c>
      <c r="M7" s="144">
        <f>MAX(VLOOKUP(L7,Tabelas!A:C,2,FALSE),VLOOKUP(K7,Tabelas!A:C,2,FALSE),VLOOKUP(J7,Tabelas!A:C,2,FALSE))</f>
        <v>0.5</v>
      </c>
    </row>
    <row r="8" spans="1:13" x14ac:dyDescent="0.25">
      <c r="A8" t="s">
        <v>220</v>
      </c>
      <c r="B8" s="145" t="str">
        <f t="shared" si="0"/>
        <v>B1</v>
      </c>
      <c r="C8" s="71">
        <v>0</v>
      </c>
      <c r="D8" s="142">
        <f>VLOOKUP(B8,Tabelas!A:C,3,FALSE)</f>
        <v>0</v>
      </c>
      <c r="E8" s="143">
        <f>VLOOKUP(B8,Tabelas!A:C,2,FALSE)</f>
        <v>0.5</v>
      </c>
      <c r="G8" s="75" t="s">
        <v>347</v>
      </c>
      <c r="H8" s="146"/>
      <c r="I8" s="146">
        <v>0.43</v>
      </c>
      <c r="J8" s="71" t="s">
        <v>278</v>
      </c>
      <c r="K8" s="132" t="str">
        <f t="shared" si="1"/>
        <v>NA</v>
      </c>
      <c r="L8" s="132" t="str">
        <f t="shared" si="2"/>
        <v>B1</v>
      </c>
      <c r="M8" s="144">
        <f>MAX(VLOOKUP(L8,Tabelas!A:C,2,FALSE),VLOOKUP(K8,Tabelas!A:C,2,FALSE),VLOOKUP(J8,Tabelas!A:C,2,FALSE))</f>
        <v>0.5</v>
      </c>
    </row>
    <row r="9" spans="1:13" x14ac:dyDescent="0.25">
      <c r="A9" t="s">
        <v>216</v>
      </c>
      <c r="B9" s="145" t="str">
        <f t="shared" si="0"/>
        <v>B2</v>
      </c>
      <c r="C9" s="71">
        <v>0</v>
      </c>
      <c r="D9" s="142">
        <f>VLOOKUP(B9,Tabelas!A:C,3,FALSE)</f>
        <v>0</v>
      </c>
      <c r="E9" s="143">
        <f>VLOOKUP(B9,Tabelas!A:C,2,FALSE)</f>
        <v>0.2</v>
      </c>
      <c r="H9" s="146"/>
      <c r="I9" s="146"/>
      <c r="J9" s="71" t="s">
        <v>288</v>
      </c>
      <c r="K9" s="132" t="str">
        <f t="shared" si="1"/>
        <v>NA</v>
      </c>
      <c r="L9" s="132" t="str">
        <f t="shared" si="2"/>
        <v>NA</v>
      </c>
      <c r="M9" s="144">
        <f>MAX(VLOOKUP(L9,Tabelas!A:C,2,FALSE),VLOOKUP(K9,Tabelas!A:C,2,FALSE),VLOOKUP(J9,Tabelas!A:C,2,FALSE))</f>
        <v>0.2</v>
      </c>
    </row>
    <row r="10" spans="1:13" x14ac:dyDescent="0.25">
      <c r="A10" t="s">
        <v>176</v>
      </c>
      <c r="B10" s="145" t="str">
        <f t="shared" si="0"/>
        <v>A2</v>
      </c>
      <c r="C10" s="71">
        <v>1</v>
      </c>
      <c r="D10" s="142">
        <f>VLOOKUP(B10,Tabelas!A:C,3,FALSE)</f>
        <v>1</v>
      </c>
      <c r="E10" s="143">
        <f>VLOOKUP(B10,Tabelas!A:C,2,FALSE)</f>
        <v>0.875</v>
      </c>
      <c r="G10" s="75" t="s">
        <v>348</v>
      </c>
      <c r="H10" s="146">
        <v>0.43409999999999999</v>
      </c>
      <c r="I10" s="146">
        <v>0.83</v>
      </c>
      <c r="J10" s="71" t="s">
        <v>276</v>
      </c>
      <c r="K10" s="132" t="str">
        <f t="shared" si="1"/>
        <v>B1</v>
      </c>
      <c r="L10" s="132" t="str">
        <f t="shared" si="2"/>
        <v>A2</v>
      </c>
      <c r="M10" s="144">
        <f>MAX(VLOOKUP(L10,Tabelas!A:C,2,FALSE),VLOOKUP(K10,Tabelas!A:C,2,FALSE),VLOOKUP(J10,Tabelas!A:C,2,FALSE))</f>
        <v>0.875</v>
      </c>
    </row>
    <row r="11" spans="1:13" x14ac:dyDescent="0.25">
      <c r="A11" t="s">
        <v>349</v>
      </c>
      <c r="B11" s="145" t="str">
        <f t="shared" si="0"/>
        <v>A1</v>
      </c>
      <c r="C11" s="71">
        <v>1</v>
      </c>
      <c r="D11" s="142">
        <f>VLOOKUP(B11,Tabelas!A:C,3,FALSE)</f>
        <v>1</v>
      </c>
      <c r="E11" s="143">
        <f>VLOOKUP(B11,Tabelas!A:C,2,FALSE)</f>
        <v>1</v>
      </c>
      <c r="G11" s="75" t="s">
        <v>350</v>
      </c>
      <c r="H11" s="146">
        <v>0.80630000000000002</v>
      </c>
      <c r="I11" s="146">
        <v>0.95</v>
      </c>
      <c r="J11" s="71" t="s">
        <v>302</v>
      </c>
      <c r="K11" s="132" t="str">
        <f t="shared" si="1"/>
        <v>A2</v>
      </c>
      <c r="L11" s="132" t="str">
        <f t="shared" si="2"/>
        <v>A1</v>
      </c>
      <c r="M11" s="144">
        <f>MAX(VLOOKUP(L11,Tabelas!A:C,2,FALSE),VLOOKUP(K11,Tabelas!A:C,2,FALSE),VLOOKUP(J11,Tabelas!A:C,2,FALSE))</f>
        <v>1</v>
      </c>
    </row>
    <row r="12" spans="1:13" x14ac:dyDescent="0.25">
      <c r="A12" t="s">
        <v>351</v>
      </c>
      <c r="B12" s="145" t="str">
        <f t="shared" si="0"/>
        <v>A1</v>
      </c>
      <c r="C12" s="71">
        <v>1</v>
      </c>
      <c r="D12" s="142">
        <f>VLOOKUP(B12,Tabelas!A:C,3,FALSE)</f>
        <v>1</v>
      </c>
      <c r="E12" s="143">
        <f>VLOOKUP(B12,Tabelas!A:C,2,FALSE)</f>
        <v>1</v>
      </c>
      <c r="G12" s="75" t="s">
        <v>352</v>
      </c>
      <c r="H12" s="146">
        <v>0.81530000000000002</v>
      </c>
      <c r="I12" s="146">
        <v>0.95</v>
      </c>
      <c r="J12" s="71" t="s">
        <v>302</v>
      </c>
      <c r="K12" s="132" t="str">
        <f t="shared" si="1"/>
        <v>A2</v>
      </c>
      <c r="L12" s="132" t="str">
        <f t="shared" si="2"/>
        <v>A1</v>
      </c>
      <c r="M12" s="144">
        <f>MAX(VLOOKUP(L12,Tabelas!A:C,2,FALSE),VLOOKUP(K12,Tabelas!A:C,2,FALSE),VLOOKUP(J12,Tabelas!A:C,2,FALSE))</f>
        <v>1</v>
      </c>
    </row>
    <row r="13" spans="1:13" x14ac:dyDescent="0.25">
      <c r="A13" t="s">
        <v>180</v>
      </c>
      <c r="B13" s="145" t="str">
        <f t="shared" si="0"/>
        <v>A1</v>
      </c>
      <c r="C13" s="71">
        <v>1</v>
      </c>
      <c r="D13" s="142">
        <f>VLOOKUP(B13,Tabelas!A:C,3,FALSE)</f>
        <v>1</v>
      </c>
      <c r="E13" s="143">
        <f>VLOOKUP(B13,Tabelas!A:C,2,FALSE)</f>
        <v>1</v>
      </c>
      <c r="G13" s="75" t="s">
        <v>353</v>
      </c>
      <c r="H13" s="146">
        <v>0.6532</v>
      </c>
      <c r="I13" s="146">
        <v>0.93</v>
      </c>
      <c r="J13" s="71" t="s">
        <v>302</v>
      </c>
      <c r="K13" s="132" t="str">
        <f t="shared" si="1"/>
        <v>A3</v>
      </c>
      <c r="L13" s="132" t="str">
        <f t="shared" si="2"/>
        <v>A1</v>
      </c>
      <c r="M13" s="144">
        <f>MAX(VLOOKUP(L13,Tabelas!A:C,2,FALSE),VLOOKUP(K13,Tabelas!A:C,2,FALSE),VLOOKUP(J13,Tabelas!A:C,2,FALSE))</f>
        <v>1</v>
      </c>
    </row>
    <row r="14" spans="1:13" x14ac:dyDescent="0.25">
      <c r="A14" t="s">
        <v>354</v>
      </c>
      <c r="B14" s="145" t="str">
        <f t="shared" si="0"/>
        <v>A2</v>
      </c>
      <c r="C14" s="71">
        <v>1</v>
      </c>
      <c r="D14" s="142">
        <f>VLOOKUP(B14,Tabelas!A:C,3,FALSE)</f>
        <v>1</v>
      </c>
      <c r="E14" s="143">
        <f>VLOOKUP(B14,Tabelas!A:C,2,FALSE)</f>
        <v>0.875</v>
      </c>
      <c r="G14" s="75" t="s">
        <v>355</v>
      </c>
      <c r="H14" s="146">
        <v>0.37919999999999998</v>
      </c>
      <c r="I14" s="146">
        <v>0.77</v>
      </c>
      <c r="J14" s="71" t="s">
        <v>299</v>
      </c>
      <c r="K14" s="132" t="str">
        <f t="shared" si="1"/>
        <v>B1</v>
      </c>
      <c r="L14" s="132" t="str">
        <f t="shared" si="2"/>
        <v>A2</v>
      </c>
      <c r="M14" s="144">
        <f>MAX(VLOOKUP(L14,Tabelas!A:C,2,FALSE),VLOOKUP(K14,Tabelas!A:C,2,FALSE),VLOOKUP(J14,Tabelas!A:C,2,FALSE))</f>
        <v>0.875</v>
      </c>
    </row>
    <row r="15" spans="1:13" x14ac:dyDescent="0.25">
      <c r="A15" t="s">
        <v>188</v>
      </c>
      <c r="B15" s="145" t="str">
        <f t="shared" si="0"/>
        <v>A3</v>
      </c>
      <c r="C15" s="71">
        <v>1</v>
      </c>
      <c r="D15" s="142">
        <f>VLOOKUP(B15,Tabelas!A:C,3,FALSE)</f>
        <v>1</v>
      </c>
      <c r="E15" s="143">
        <f>VLOOKUP(B15,Tabelas!A:C,2,FALSE)</f>
        <v>0.75</v>
      </c>
      <c r="G15" s="75" t="s">
        <v>356</v>
      </c>
      <c r="H15" s="146">
        <v>0.19600000000000001</v>
      </c>
      <c r="I15" s="146">
        <v>0.64</v>
      </c>
      <c r="J15" s="71" t="s">
        <v>280</v>
      </c>
      <c r="K15" s="132" t="str">
        <f t="shared" si="1"/>
        <v>B3</v>
      </c>
      <c r="L15" s="132" t="str">
        <f t="shared" si="2"/>
        <v>A3</v>
      </c>
      <c r="M15" s="144">
        <f>MAX(VLOOKUP(L15,Tabelas!A:C,2,FALSE),VLOOKUP(K15,Tabelas!A:C,2,FALSE),VLOOKUP(J15,Tabelas!A:C,2,FALSE))</f>
        <v>0.75</v>
      </c>
    </row>
    <row r="16" spans="1:13" x14ac:dyDescent="0.25">
      <c r="A16" t="s">
        <v>254</v>
      </c>
      <c r="B16" s="145" t="str">
        <f t="shared" si="0"/>
        <v>A2</v>
      </c>
      <c r="C16" s="71">
        <v>1</v>
      </c>
      <c r="D16" s="142">
        <f>VLOOKUP(B16,Tabelas!A:C,3,FALSE)</f>
        <v>1</v>
      </c>
      <c r="E16" s="143">
        <f>VLOOKUP(B16,Tabelas!A:C,2,FALSE)</f>
        <v>0.875</v>
      </c>
      <c r="H16" s="146">
        <v>0.32</v>
      </c>
      <c r="I16" s="146">
        <v>0.78</v>
      </c>
      <c r="J16" s="71" t="s">
        <v>420</v>
      </c>
      <c r="K16" s="132" t="str">
        <f t="shared" si="1"/>
        <v>B2</v>
      </c>
      <c r="L16" s="132" t="str">
        <f t="shared" si="2"/>
        <v>A2</v>
      </c>
      <c r="M16" s="144">
        <f>MAX(VLOOKUP(L16,Tabelas!A:C,2,FALSE),VLOOKUP(K16,Tabelas!A:C,2,FALSE),VLOOKUP(J16,Tabelas!A:C,2,FALSE))</f>
        <v>0.875</v>
      </c>
    </row>
    <row r="17" spans="1:13" x14ac:dyDescent="0.25">
      <c r="A17" t="s">
        <v>178</v>
      </c>
      <c r="B17" s="145" t="str">
        <f t="shared" si="0"/>
        <v>A3</v>
      </c>
      <c r="C17" s="71">
        <v>1</v>
      </c>
      <c r="D17" s="142">
        <f>VLOOKUP(B17,Tabelas!A:C,3,FALSE)</f>
        <v>1</v>
      </c>
      <c r="E17" s="143">
        <f>VLOOKUP(B17,Tabelas!A:C,2,FALSE)</f>
        <v>0.75</v>
      </c>
      <c r="G17" s="75" t="s">
        <v>357</v>
      </c>
      <c r="H17" s="146">
        <v>0.47839999999999999</v>
      </c>
      <c r="I17" s="146">
        <v>0.67</v>
      </c>
      <c r="J17" s="71" t="s">
        <v>299</v>
      </c>
      <c r="K17" s="132" t="str">
        <f t="shared" si="1"/>
        <v>B1</v>
      </c>
      <c r="L17" s="132" t="str">
        <f t="shared" si="2"/>
        <v>A3</v>
      </c>
      <c r="M17" s="144">
        <f>MAX(VLOOKUP(L17,Tabelas!A:C,2,FALSE),VLOOKUP(K17,Tabelas!A:C,2,FALSE),VLOOKUP(J17,Tabelas!A:C,2,FALSE))</f>
        <v>0.75</v>
      </c>
    </row>
    <row r="18" spans="1:13" x14ac:dyDescent="0.25">
      <c r="A18" t="s">
        <v>182</v>
      </c>
      <c r="B18" s="145" t="str">
        <f t="shared" si="0"/>
        <v>A1</v>
      </c>
      <c r="C18" s="71">
        <v>1</v>
      </c>
      <c r="D18" s="142">
        <f>VLOOKUP(B18,Tabelas!A:C,3,FALSE)</f>
        <v>1</v>
      </c>
      <c r="E18" s="143">
        <f>VLOOKUP(B18,Tabelas!A:C,2,FALSE)</f>
        <v>1</v>
      </c>
      <c r="G18" s="75" t="s">
        <v>358</v>
      </c>
      <c r="H18" s="146">
        <v>0.83809999999999996</v>
      </c>
      <c r="I18" s="146">
        <v>0.98</v>
      </c>
      <c r="J18" s="71" t="s">
        <v>302</v>
      </c>
      <c r="K18" s="132" t="str">
        <f t="shared" si="1"/>
        <v>A2</v>
      </c>
      <c r="L18" s="132" t="str">
        <f t="shared" si="2"/>
        <v>A1</v>
      </c>
      <c r="M18" s="144">
        <f>MAX(VLOOKUP(L18,Tabelas!A:C,2,FALSE),VLOOKUP(K18,Tabelas!A:C,2,FALSE),VLOOKUP(J18,Tabelas!A:C,2,FALSE))</f>
        <v>1</v>
      </c>
    </row>
    <row r="19" spans="1:13" x14ac:dyDescent="0.25">
      <c r="A19" t="s">
        <v>359</v>
      </c>
      <c r="B19" s="145" t="str">
        <f t="shared" si="0"/>
        <v>A1</v>
      </c>
      <c r="C19" s="71">
        <v>1</v>
      </c>
      <c r="D19" s="142">
        <f>VLOOKUP(B19,Tabelas!A:C,3,FALSE)</f>
        <v>1</v>
      </c>
      <c r="E19" s="143">
        <f>VLOOKUP(B19,Tabelas!A:C,2,FALSE)</f>
        <v>1</v>
      </c>
      <c r="G19" s="75" t="s">
        <v>360</v>
      </c>
      <c r="H19" s="146">
        <v>0.94089999999999996</v>
      </c>
      <c r="I19" s="146">
        <v>0.96</v>
      </c>
      <c r="J19" s="71" t="s">
        <v>302</v>
      </c>
      <c r="K19" s="132" t="str">
        <f t="shared" si="1"/>
        <v>A1</v>
      </c>
      <c r="L19" s="132" t="str">
        <f t="shared" si="2"/>
        <v>A1</v>
      </c>
      <c r="M19" s="144">
        <f>MAX(VLOOKUP(L19,Tabelas!A:C,2,FALSE),VLOOKUP(K19,Tabelas!A:C,2,FALSE),VLOOKUP(J19,Tabelas!A:C,2,FALSE))</f>
        <v>1</v>
      </c>
    </row>
    <row r="20" spans="1:13" x14ac:dyDescent="0.25">
      <c r="A20" t="s">
        <v>234</v>
      </c>
      <c r="B20" s="145" t="str">
        <f t="shared" si="0"/>
        <v>A1</v>
      </c>
      <c r="C20" s="71">
        <v>1</v>
      </c>
      <c r="D20" s="142">
        <f>VLOOKUP(B20,Tabelas!A:C,3,FALSE)</f>
        <v>1</v>
      </c>
      <c r="E20" s="143">
        <f>VLOOKUP(B20,Tabelas!A:C,2,FALSE)</f>
        <v>1</v>
      </c>
      <c r="G20" s="75" t="s">
        <v>361</v>
      </c>
      <c r="H20" s="146">
        <v>0.63190000000000002</v>
      </c>
      <c r="I20" s="146">
        <v>0.96</v>
      </c>
      <c r="J20" s="71" t="s">
        <v>302</v>
      </c>
      <c r="K20" s="132" t="str">
        <f t="shared" si="1"/>
        <v>A3</v>
      </c>
      <c r="L20" s="132" t="str">
        <f t="shared" si="2"/>
        <v>A1</v>
      </c>
      <c r="M20" s="144">
        <f>MAX(VLOOKUP(L20,Tabelas!A:C,2,FALSE),VLOOKUP(K20,Tabelas!A:C,2,FALSE),VLOOKUP(J20,Tabelas!A:C,2,FALSE))</f>
        <v>1</v>
      </c>
    </row>
    <row r="21" spans="1:13" x14ac:dyDescent="0.25">
      <c r="A21" t="s">
        <v>362</v>
      </c>
      <c r="B21" s="145" t="str">
        <f t="shared" si="0"/>
        <v>A4</v>
      </c>
      <c r="C21" s="71">
        <v>1</v>
      </c>
      <c r="D21" s="142">
        <f>VLOOKUP(B21,Tabelas!A:C,3,FALSE)</f>
        <v>1</v>
      </c>
      <c r="E21" s="143">
        <f>VLOOKUP(B21,Tabelas!A:C,2,FALSE)</f>
        <v>0.625</v>
      </c>
      <c r="G21" s="75" t="s">
        <v>363</v>
      </c>
      <c r="H21" s="146">
        <v>5.8999999999999997E-2</v>
      </c>
      <c r="I21" s="146">
        <v>0.61</v>
      </c>
      <c r="J21" s="71" t="s">
        <v>280</v>
      </c>
      <c r="K21" s="132" t="str">
        <f t="shared" si="1"/>
        <v>B4</v>
      </c>
      <c r="L21" s="132" t="str">
        <f t="shared" si="2"/>
        <v>A4</v>
      </c>
      <c r="M21" s="144">
        <f>MAX(VLOOKUP(L21,Tabelas!A:C,2,FALSE),VLOOKUP(K21,Tabelas!A:C,2,FALSE),VLOOKUP(J21,Tabelas!A:C,2,FALSE))</f>
        <v>0.625</v>
      </c>
    </row>
    <row r="22" spans="1:13" x14ac:dyDescent="0.25">
      <c r="A22" t="s">
        <v>364</v>
      </c>
      <c r="B22" s="145" t="str">
        <f t="shared" si="0"/>
        <v>A1</v>
      </c>
      <c r="C22" s="71">
        <v>1</v>
      </c>
      <c r="D22" s="142">
        <f>VLOOKUP(B22,Tabelas!A:C,3,FALSE)</f>
        <v>1</v>
      </c>
      <c r="E22" s="143">
        <f>VLOOKUP(B22,Tabelas!A:C,2,FALSE)</f>
        <v>1</v>
      </c>
      <c r="G22" s="75" t="s">
        <v>365</v>
      </c>
      <c r="H22" s="146">
        <v>0.8962</v>
      </c>
      <c r="I22" s="146">
        <v>0.93</v>
      </c>
      <c r="J22" s="71" t="s">
        <v>302</v>
      </c>
      <c r="K22" s="132" t="str">
        <f t="shared" si="1"/>
        <v>A1</v>
      </c>
      <c r="L22" s="132" t="str">
        <f t="shared" si="2"/>
        <v>A1</v>
      </c>
      <c r="M22" s="144">
        <f>MAX(VLOOKUP(L22,Tabelas!A:C,2,FALSE),VLOOKUP(K22,Tabelas!A:C,2,FALSE),VLOOKUP(J22,Tabelas!A:C,2,FALSE))</f>
        <v>1</v>
      </c>
    </row>
    <row r="23" spans="1:13" x14ac:dyDescent="0.25">
      <c r="A23" t="s">
        <v>366</v>
      </c>
      <c r="B23" s="145" t="str">
        <f t="shared" si="0"/>
        <v>A1</v>
      </c>
      <c r="C23" s="71">
        <v>1</v>
      </c>
      <c r="D23" s="142">
        <f>VLOOKUP(B23,Tabelas!A:C,3,FALSE)</f>
        <v>1</v>
      </c>
      <c r="E23" s="143">
        <f>VLOOKUP(B23,Tabelas!A:C,2,FALSE)</f>
        <v>1</v>
      </c>
      <c r="G23" s="75" t="s">
        <v>367</v>
      </c>
      <c r="H23" s="146">
        <v>0.61719999999999997</v>
      </c>
      <c r="I23" s="146">
        <v>0.97</v>
      </c>
      <c r="J23" s="71" t="s">
        <v>302</v>
      </c>
      <c r="K23" s="132" t="str">
        <f t="shared" si="1"/>
        <v>A4</v>
      </c>
      <c r="L23" s="132" t="str">
        <f t="shared" si="2"/>
        <v>A1</v>
      </c>
      <c r="M23" s="144">
        <f>MAX(VLOOKUP(L23,Tabelas!A:C,2,FALSE),VLOOKUP(K23,Tabelas!A:C,2,FALSE),VLOOKUP(J23,Tabelas!A:C,2,FALSE))</f>
        <v>1</v>
      </c>
    </row>
    <row r="24" spans="1:13" x14ac:dyDescent="0.25">
      <c r="A24" t="s">
        <v>224</v>
      </c>
      <c r="B24" s="145" t="str">
        <f t="shared" si="0"/>
        <v>A2</v>
      </c>
      <c r="C24" s="71">
        <v>0</v>
      </c>
      <c r="D24" s="142">
        <f>VLOOKUP(B24,Tabelas!A:C,3,FALSE)</f>
        <v>1</v>
      </c>
      <c r="E24" s="143">
        <f>VLOOKUP(B24,Tabelas!A:C,2,FALSE)</f>
        <v>0.875</v>
      </c>
      <c r="G24" s="75" t="s">
        <v>369</v>
      </c>
      <c r="H24" s="146">
        <v>0.64649999999999996</v>
      </c>
      <c r="I24" s="146">
        <v>0.78</v>
      </c>
      <c r="J24" s="71" t="s">
        <v>299</v>
      </c>
      <c r="K24" s="132" t="str">
        <f t="shared" si="1"/>
        <v>A3</v>
      </c>
      <c r="L24" s="132" t="str">
        <f t="shared" si="2"/>
        <v>A2</v>
      </c>
      <c r="M24" s="144">
        <f>MAX(VLOOKUP(L24,Tabelas!A:C,2,FALSE),VLOOKUP(K24,Tabelas!A:C,2,FALSE),VLOOKUP(J24,Tabelas!A:C,2,FALSE))</f>
        <v>0.875</v>
      </c>
    </row>
    <row r="25" spans="1:13" x14ac:dyDescent="0.25">
      <c r="A25" t="s">
        <v>218</v>
      </c>
      <c r="B25" s="145" t="str">
        <f t="shared" si="0"/>
        <v>A2</v>
      </c>
      <c r="C25" s="71">
        <v>1</v>
      </c>
      <c r="D25" s="142">
        <f>VLOOKUP(B25,Tabelas!A:C,3,FALSE)</f>
        <v>1</v>
      </c>
      <c r="E25" s="143">
        <f>VLOOKUP(B25,Tabelas!A:C,2,FALSE)</f>
        <v>0.875</v>
      </c>
      <c r="G25" s="75" t="s">
        <v>368</v>
      </c>
      <c r="H25" s="146">
        <v>0.29859999999999998</v>
      </c>
      <c r="I25" s="146">
        <v>0.72</v>
      </c>
      <c r="J25" s="71" t="s">
        <v>276</v>
      </c>
      <c r="K25" s="132" t="str">
        <f t="shared" si="1"/>
        <v>B2</v>
      </c>
      <c r="L25" s="132" t="str">
        <f t="shared" si="2"/>
        <v>A3</v>
      </c>
      <c r="M25" s="144">
        <f>MAX(VLOOKUP(L25,Tabelas!A:C,2,FALSE),VLOOKUP(K25,Tabelas!A:C,2,FALSE),VLOOKUP(J25,Tabelas!A:C,2,FALSE))</f>
        <v>0.875</v>
      </c>
    </row>
    <row r="26" spans="1:13" x14ac:dyDescent="0.25">
      <c r="A26" t="s">
        <v>370</v>
      </c>
      <c r="B26" s="145" t="str">
        <f t="shared" si="0"/>
        <v>A1</v>
      </c>
      <c r="C26" s="71">
        <v>1</v>
      </c>
      <c r="D26" s="142">
        <f>VLOOKUP(B26,Tabelas!A:C,3,FALSE)</f>
        <v>1</v>
      </c>
      <c r="E26" s="143">
        <f>VLOOKUP(B26,Tabelas!A:C,2,FALSE)</f>
        <v>1</v>
      </c>
      <c r="G26" s="75" t="s">
        <v>371</v>
      </c>
      <c r="H26" s="146">
        <v>0.94440000000000002</v>
      </c>
      <c r="I26" s="146">
        <v>0.98</v>
      </c>
      <c r="J26" s="71" t="s">
        <v>302</v>
      </c>
      <c r="K26" s="132" t="str">
        <f t="shared" si="1"/>
        <v>A1</v>
      </c>
      <c r="L26" s="132" t="str">
        <f t="shared" si="2"/>
        <v>A1</v>
      </c>
      <c r="M26" s="144">
        <f>MAX(VLOOKUP(L26,Tabelas!A:C,2,FALSE),VLOOKUP(K26,Tabelas!A:C,2,FALSE),VLOOKUP(J26,Tabelas!A:C,2,FALSE))</f>
        <v>1</v>
      </c>
    </row>
    <row r="27" spans="1:13" x14ac:dyDescent="0.25">
      <c r="A27" t="s">
        <v>372</v>
      </c>
      <c r="B27" s="145" t="str">
        <f t="shared" si="0"/>
        <v>A1</v>
      </c>
      <c r="C27" s="71">
        <v>1</v>
      </c>
      <c r="D27" s="142">
        <f>VLOOKUP(B27,Tabelas!A:C,3,FALSE)</f>
        <v>1</v>
      </c>
      <c r="E27" s="143">
        <f>VLOOKUP(B27,Tabelas!A:C,2,FALSE)</f>
        <v>1</v>
      </c>
      <c r="G27" s="75" t="s">
        <v>373</v>
      </c>
      <c r="H27" s="146">
        <v>0.59909999999999997</v>
      </c>
      <c r="I27" s="146">
        <v>0.97</v>
      </c>
      <c r="J27" s="71" t="s">
        <v>302</v>
      </c>
      <c r="K27" s="132" t="str">
        <f t="shared" si="1"/>
        <v>A4</v>
      </c>
      <c r="L27" s="132" t="str">
        <f t="shared" si="2"/>
        <v>A1</v>
      </c>
      <c r="M27" s="144">
        <f>MAX(VLOOKUP(L27,Tabelas!A:C,2,FALSE),VLOOKUP(K27,Tabelas!A:C,2,FALSE),VLOOKUP(J27,Tabelas!A:C,2,FALSE))</f>
        <v>1</v>
      </c>
    </row>
    <row r="28" spans="1:13" x14ac:dyDescent="0.25">
      <c r="A28" t="s">
        <v>374</v>
      </c>
      <c r="B28" s="145" t="str">
        <f t="shared" si="0"/>
        <v>A1</v>
      </c>
      <c r="C28" s="71">
        <v>1</v>
      </c>
      <c r="D28" s="142">
        <f>VLOOKUP(B28,Tabelas!A:C,3,FALSE)</f>
        <v>1</v>
      </c>
      <c r="E28" s="143">
        <f>VLOOKUP(B28,Tabelas!A:C,2,FALSE)</f>
        <v>1</v>
      </c>
      <c r="G28" s="75" t="s">
        <v>375</v>
      </c>
      <c r="H28" s="146">
        <v>0.67310000000000003</v>
      </c>
      <c r="I28" s="146">
        <v>0.93</v>
      </c>
      <c r="J28" s="71" t="s">
        <v>302</v>
      </c>
      <c r="K28" s="132" t="str">
        <f t="shared" si="1"/>
        <v>A3</v>
      </c>
      <c r="L28" s="132" t="str">
        <f t="shared" si="2"/>
        <v>A1</v>
      </c>
      <c r="M28" s="144">
        <f>MAX(VLOOKUP(L28,Tabelas!A:C,2,FALSE),VLOOKUP(K28,Tabelas!A:C,2,FALSE),VLOOKUP(J28,Tabelas!A:C,2,FALSE))</f>
        <v>1</v>
      </c>
    </row>
    <row r="29" spans="1:13" x14ac:dyDescent="0.25">
      <c r="A29" t="s">
        <v>376</v>
      </c>
      <c r="B29" s="145" t="str">
        <f t="shared" si="0"/>
        <v>B2</v>
      </c>
      <c r="C29" s="71">
        <v>1</v>
      </c>
      <c r="D29" s="142">
        <f>VLOOKUP(B29,Tabelas!A:C,3,FALSE)</f>
        <v>0</v>
      </c>
      <c r="E29" s="143">
        <f>VLOOKUP(B29,Tabelas!A:C,2,FALSE)</f>
        <v>0.2</v>
      </c>
      <c r="G29" s="76" t="s">
        <v>377</v>
      </c>
      <c r="H29" s="146">
        <v>7.5499999999999998E-2</v>
      </c>
      <c r="I29" s="146">
        <v>0.35</v>
      </c>
      <c r="J29" s="71" t="s">
        <v>288</v>
      </c>
      <c r="K29" s="132" t="str">
        <f t="shared" si="1"/>
        <v>B4</v>
      </c>
      <c r="L29" s="132" t="str">
        <f t="shared" si="2"/>
        <v>B2</v>
      </c>
      <c r="M29" s="144">
        <f>MAX(VLOOKUP(L29,Tabelas!A:C,2,FALSE),VLOOKUP(K29,Tabelas!A:C,2,FALSE),VLOOKUP(J29,Tabelas!A:C,2,FALSE))</f>
        <v>0.2</v>
      </c>
    </row>
    <row r="30" spans="1:13" x14ac:dyDescent="0.25">
      <c r="A30" t="s">
        <v>200</v>
      </c>
      <c r="B30" s="145" t="str">
        <f t="shared" si="0"/>
        <v>A2</v>
      </c>
      <c r="C30" s="71">
        <v>1</v>
      </c>
      <c r="D30" s="142">
        <f>VLOOKUP(B30,Tabelas!A:C,3,FALSE)</f>
        <v>1</v>
      </c>
      <c r="E30" s="143">
        <f>VLOOKUP(B30,Tabelas!A:C,2,FALSE)</f>
        <v>0.875</v>
      </c>
      <c r="G30" s="76" t="s">
        <v>379</v>
      </c>
      <c r="H30" s="146">
        <v>0.53169999999999995</v>
      </c>
      <c r="I30" s="146">
        <v>0.84</v>
      </c>
      <c r="J30" s="71" t="s">
        <v>276</v>
      </c>
      <c r="K30" s="132" t="str">
        <f t="shared" si="1"/>
        <v>A4</v>
      </c>
      <c r="L30" s="132" t="str">
        <f t="shared" si="2"/>
        <v>A2</v>
      </c>
      <c r="M30" s="144">
        <f>MAX(VLOOKUP(L30,Tabelas!A:C,2,FALSE),VLOOKUP(K30,Tabelas!A:C,2,FALSE),VLOOKUP(J30,Tabelas!A:C,2,FALSE))</f>
        <v>0.875</v>
      </c>
    </row>
    <row r="31" spans="1:13" x14ac:dyDescent="0.25">
      <c r="A31" t="s">
        <v>230</v>
      </c>
      <c r="B31" s="145" t="str">
        <f t="shared" si="0"/>
        <v>A1</v>
      </c>
      <c r="C31" s="71">
        <v>0</v>
      </c>
      <c r="D31" s="142">
        <f>VLOOKUP(B31,Tabelas!A:C,3,FALSE)</f>
        <v>1</v>
      </c>
      <c r="E31" s="143">
        <f>VLOOKUP(B31,Tabelas!A:C,2,FALSE)</f>
        <v>1</v>
      </c>
      <c r="G31" s="76" t="s">
        <v>378</v>
      </c>
      <c r="H31" s="146">
        <v>0.73850000000000005</v>
      </c>
      <c r="I31" s="146">
        <v>0.92</v>
      </c>
      <c r="J31" s="71" t="s">
        <v>283</v>
      </c>
      <c r="K31" s="132" t="str">
        <f t="shared" si="1"/>
        <v>A3</v>
      </c>
      <c r="L31" s="132" t="str">
        <f t="shared" si="2"/>
        <v>A1</v>
      </c>
      <c r="M31" s="144">
        <f>MAX(VLOOKUP(L31,Tabelas!A:C,2,FALSE),VLOOKUP(K31,Tabelas!A:C,2,FALSE),VLOOKUP(J31,Tabelas!A:C,2,FALSE))</f>
        <v>1</v>
      </c>
    </row>
    <row r="32" spans="1:13" x14ac:dyDescent="0.25">
      <c r="A32" t="s">
        <v>380</v>
      </c>
      <c r="B32" s="145" t="str">
        <f t="shared" si="0"/>
        <v>A1</v>
      </c>
      <c r="C32" s="71">
        <v>1</v>
      </c>
      <c r="D32" s="142">
        <f>VLOOKUP(B32,Tabelas!A:C,3,FALSE)</f>
        <v>1</v>
      </c>
      <c r="E32" s="143">
        <f>VLOOKUP(B32,Tabelas!A:C,2,FALSE)</f>
        <v>1</v>
      </c>
      <c r="G32" s="75" t="s">
        <v>381</v>
      </c>
      <c r="H32" s="146">
        <v>0.52880000000000005</v>
      </c>
      <c r="I32" s="146">
        <v>0.87</v>
      </c>
      <c r="J32" s="71" t="s">
        <v>302</v>
      </c>
      <c r="K32" s="132" t="str">
        <f t="shared" si="1"/>
        <v>A4</v>
      </c>
      <c r="L32" s="132" t="str">
        <f t="shared" si="2"/>
        <v>A2</v>
      </c>
      <c r="M32" s="144">
        <f>MAX(VLOOKUP(L32,Tabelas!A:C,2,FALSE),VLOOKUP(K32,Tabelas!A:C,2,FALSE),VLOOKUP(J32,Tabelas!A:C,2,FALSE))</f>
        <v>1</v>
      </c>
    </row>
    <row r="33" spans="1:13" x14ac:dyDescent="0.25">
      <c r="A33" t="s">
        <v>382</v>
      </c>
      <c r="B33" s="145" t="str">
        <f t="shared" si="0"/>
        <v>B2</v>
      </c>
      <c r="C33" s="71">
        <v>0</v>
      </c>
      <c r="D33" s="142">
        <f>VLOOKUP(B33,Tabelas!A:C,3,FALSE)</f>
        <v>0</v>
      </c>
      <c r="E33" s="143">
        <f>VLOOKUP(B33,Tabelas!A:C,2,FALSE)</f>
        <v>0.2</v>
      </c>
      <c r="G33" s="75" t="s">
        <v>383</v>
      </c>
      <c r="H33" s="146"/>
      <c r="I33" s="146"/>
      <c r="J33" s="71" t="s">
        <v>288</v>
      </c>
      <c r="K33" s="132" t="str">
        <f t="shared" si="1"/>
        <v>NA</v>
      </c>
      <c r="L33" s="132" t="str">
        <f t="shared" si="2"/>
        <v>NA</v>
      </c>
      <c r="M33" s="144">
        <f>MAX(VLOOKUP(L33,Tabelas!A:C,2,FALSE),VLOOKUP(K33,Tabelas!A:C,2,FALSE),VLOOKUP(J33,Tabelas!A:C,2,FALSE))</f>
        <v>0.2</v>
      </c>
    </row>
    <row r="34" spans="1:13" x14ac:dyDescent="0.25">
      <c r="A34" t="s">
        <v>384</v>
      </c>
      <c r="B34" s="145" t="str">
        <f t="shared" ref="B34:B70" si="3">IF(M34&gt;1-1/8,"A1",IF(M34&gt;1-2/8,"A2",IF(M34&gt;1-3/8,"A3",IF(M34&gt;1/2,"A4",IF(M34&gt;1-5/8,"B1",IF(M34&gt;=0.2,"B2",IF(M34&gt;=0.1,"B3",IF(M34&gt;=0.05,"B4","NA"))))))))</f>
        <v>A1</v>
      </c>
      <c r="C34" s="71">
        <v>1</v>
      </c>
      <c r="D34" s="142">
        <f>VLOOKUP(B34,Tabelas!A:C,3,FALSE)</f>
        <v>1</v>
      </c>
      <c r="E34" s="143">
        <f>VLOOKUP(B34,Tabelas!A:C,2,FALSE)</f>
        <v>1</v>
      </c>
      <c r="G34" s="75" t="s">
        <v>385</v>
      </c>
      <c r="H34" s="146">
        <v>0.88739999999999997</v>
      </c>
      <c r="I34" s="146">
        <v>0.94</v>
      </c>
      <c r="J34" s="71" t="s">
        <v>302</v>
      </c>
      <c r="K34" s="132" t="str">
        <f t="shared" ref="K34:K70" si="4">IF(H34&gt;1-1/8,"A1",IF(H34&gt;1-2/8,"A2",IF(H34&gt;1-3/8,"A3",IF(H34&gt;1/2,"A4",IF(H34&gt;1-5/8,"B1",IF(H34&gt;1-6/8,"B2",IF(H34&gt;1-7/8,"B3",IF(H34&gt;0,"B4","NA"))))))))</f>
        <v>A1</v>
      </c>
      <c r="L34" s="132" t="str">
        <f t="shared" ref="L34:L70" si="5">IF(I34&gt;1-1/8,"A1",IF(I34&gt;1-2/8,"A2",IF(I34&gt;1-3/8,"A3",IF(I34&gt;1/2,"A4",IF(I34&gt;1-5/8,"B1",IF(I34&gt;1-6/8,"B2",IF(I34&gt;1-7/8,"B3",IF(I34&gt;0,"B4","NA"))))))))</f>
        <v>A1</v>
      </c>
      <c r="M34" s="144">
        <f>MAX(VLOOKUP(L34,Tabelas!A:C,2,FALSE),VLOOKUP(K34,Tabelas!A:C,2,FALSE),VLOOKUP(J34,Tabelas!A:C,2,FALSE))</f>
        <v>1</v>
      </c>
    </row>
    <row r="35" spans="1:13" x14ac:dyDescent="0.25">
      <c r="A35" t="s">
        <v>232</v>
      </c>
      <c r="B35" s="145" t="str">
        <f t="shared" si="3"/>
        <v>A2</v>
      </c>
      <c r="C35" s="71">
        <v>1</v>
      </c>
      <c r="D35" s="142">
        <f>VLOOKUP(B35,Tabelas!A:C,3,FALSE)</f>
        <v>1</v>
      </c>
      <c r="E35" s="143">
        <f>VLOOKUP(B35,Tabelas!A:C,2,FALSE)</f>
        <v>0.875</v>
      </c>
      <c r="G35" s="75" t="s">
        <v>386</v>
      </c>
      <c r="H35" s="146"/>
      <c r="I35" s="146">
        <v>0.06</v>
      </c>
      <c r="J35" s="71" t="s">
        <v>276</v>
      </c>
      <c r="K35" s="132" t="str">
        <f t="shared" si="4"/>
        <v>NA</v>
      </c>
      <c r="L35" s="132" t="str">
        <f t="shared" si="5"/>
        <v>B4</v>
      </c>
      <c r="M35" s="144">
        <f>MAX(VLOOKUP(L35,Tabelas!A:C,2,FALSE),VLOOKUP(K35,Tabelas!A:C,2,FALSE),VLOOKUP(J35,Tabelas!A:C,2,FALSE))</f>
        <v>0.875</v>
      </c>
    </row>
    <row r="36" spans="1:13" x14ac:dyDescent="0.25">
      <c r="A36" t="s">
        <v>387</v>
      </c>
      <c r="B36" s="145" t="str">
        <f t="shared" si="3"/>
        <v>B1</v>
      </c>
      <c r="C36" s="71">
        <v>1</v>
      </c>
      <c r="D36" s="142">
        <f>VLOOKUP(B36,Tabelas!A:C,3,FALSE)</f>
        <v>0</v>
      </c>
      <c r="E36" s="143">
        <f>VLOOKUP(B36,Tabelas!A:C,2,FALSE)</f>
        <v>0.5</v>
      </c>
      <c r="G36" s="75" t="s">
        <v>388</v>
      </c>
      <c r="H36" s="146"/>
      <c r="I36" s="146"/>
      <c r="J36" s="71" t="s">
        <v>278</v>
      </c>
      <c r="K36" s="132" t="str">
        <f t="shared" si="4"/>
        <v>NA</v>
      </c>
      <c r="L36" s="132" t="str">
        <f t="shared" si="5"/>
        <v>NA</v>
      </c>
      <c r="M36" s="144">
        <f>MAX(VLOOKUP(L36,Tabelas!A:C,2,FALSE),VLOOKUP(K36,Tabelas!A:C,2,FALSE),VLOOKUP(J36,Tabelas!A:C,2,FALSE))</f>
        <v>0.5</v>
      </c>
    </row>
    <row r="37" spans="1:13" x14ac:dyDescent="0.25">
      <c r="A37" t="s">
        <v>190</v>
      </c>
      <c r="B37" s="145" t="str">
        <f t="shared" si="3"/>
        <v>A2</v>
      </c>
      <c r="C37" s="71">
        <v>1</v>
      </c>
      <c r="D37" s="142">
        <f>VLOOKUP(B37,Tabelas!A:C,3,FALSE)</f>
        <v>1</v>
      </c>
      <c r="E37" s="143">
        <f>VLOOKUP(B37,Tabelas!A:C,2,FALSE)</f>
        <v>0.875</v>
      </c>
      <c r="G37" s="75" t="s">
        <v>389</v>
      </c>
      <c r="H37" s="146">
        <v>0.5</v>
      </c>
      <c r="I37" s="146">
        <v>0.83</v>
      </c>
      <c r="J37" s="71" t="s">
        <v>276</v>
      </c>
      <c r="K37" s="132" t="str">
        <f t="shared" si="4"/>
        <v>B1</v>
      </c>
      <c r="L37" s="132" t="str">
        <f t="shared" si="5"/>
        <v>A2</v>
      </c>
      <c r="M37" s="144">
        <f>MAX(VLOOKUP(L37,Tabelas!A:C,2,FALSE),VLOOKUP(K37,Tabelas!A:C,2,FALSE),VLOOKUP(J37,Tabelas!A:C,2,FALSE))</f>
        <v>0.875</v>
      </c>
    </row>
    <row r="38" spans="1:13" x14ac:dyDescent="0.25">
      <c r="A38" t="s">
        <v>390</v>
      </c>
      <c r="B38" s="145" t="str">
        <f t="shared" si="3"/>
        <v>A2</v>
      </c>
      <c r="C38" s="71">
        <v>1</v>
      </c>
      <c r="D38" s="142">
        <f>VLOOKUP(B38,Tabelas!A:C,3,FALSE)</f>
        <v>1</v>
      </c>
      <c r="E38" s="143">
        <f>VLOOKUP(B38,Tabelas!A:C,2,FALSE)</f>
        <v>0.875</v>
      </c>
      <c r="G38" s="75" t="s">
        <v>391</v>
      </c>
      <c r="H38" s="146">
        <v>0.62109999999999999</v>
      </c>
      <c r="I38" s="146">
        <v>0.71</v>
      </c>
      <c r="J38" s="71" t="s">
        <v>276</v>
      </c>
      <c r="K38" s="132" t="str">
        <f t="shared" si="4"/>
        <v>A4</v>
      </c>
      <c r="L38" s="132" t="str">
        <f t="shared" si="5"/>
        <v>A3</v>
      </c>
      <c r="M38" s="144">
        <f>MAX(VLOOKUP(L38,Tabelas!A:C,2,FALSE),VLOOKUP(K38,Tabelas!A:C,2,FALSE),VLOOKUP(J38,Tabelas!A:C,2,FALSE))</f>
        <v>0.875</v>
      </c>
    </row>
    <row r="39" spans="1:13" x14ac:dyDescent="0.25">
      <c r="A39" t="s">
        <v>209</v>
      </c>
      <c r="B39" s="145" t="str">
        <f t="shared" si="3"/>
        <v>A3</v>
      </c>
      <c r="C39" s="71">
        <v>0</v>
      </c>
      <c r="D39" s="142">
        <f>VLOOKUP(B39,Tabelas!A:C,3,FALSE)</f>
        <v>1</v>
      </c>
      <c r="E39" s="143">
        <f>VLOOKUP(B39,Tabelas!A:C,2,FALSE)</f>
        <v>0.75</v>
      </c>
      <c r="G39" s="75" t="s">
        <v>392</v>
      </c>
      <c r="H39" s="146">
        <v>0.248</v>
      </c>
      <c r="I39" s="146">
        <v>0.31</v>
      </c>
      <c r="J39" s="71" t="s">
        <v>299</v>
      </c>
      <c r="K39" s="132" t="str">
        <f t="shared" si="4"/>
        <v>B3</v>
      </c>
      <c r="L39" s="132" t="str">
        <f t="shared" si="5"/>
        <v>B2</v>
      </c>
      <c r="M39" s="144">
        <f>MAX(VLOOKUP(L39,Tabelas!A:C,2,FALSE),VLOOKUP(K39,Tabelas!A:C,2,FALSE),VLOOKUP(J39,Tabelas!A:C,2,FALSE))</f>
        <v>0.75</v>
      </c>
    </row>
    <row r="40" spans="1:13" x14ac:dyDescent="0.25">
      <c r="A40" t="s">
        <v>393</v>
      </c>
      <c r="B40" s="145" t="str">
        <f t="shared" si="3"/>
        <v>A1</v>
      </c>
      <c r="C40" s="71">
        <v>1</v>
      </c>
      <c r="D40" s="142">
        <f>VLOOKUP(B40,Tabelas!A:C,3,FALSE)</f>
        <v>1</v>
      </c>
      <c r="E40" s="143">
        <f>VLOOKUP(B40,Tabelas!A:C,2,FALSE)</f>
        <v>1</v>
      </c>
      <c r="G40" s="75" t="s">
        <v>394</v>
      </c>
      <c r="H40" s="146">
        <v>0.88849999999999996</v>
      </c>
      <c r="I40" s="146">
        <v>0.97</v>
      </c>
      <c r="J40" s="71" t="s">
        <v>302</v>
      </c>
      <c r="K40" s="132" t="str">
        <f t="shared" si="4"/>
        <v>A1</v>
      </c>
      <c r="L40" s="132" t="str">
        <f t="shared" si="5"/>
        <v>A1</v>
      </c>
      <c r="M40" s="144">
        <f>MAX(VLOOKUP(L40,Tabelas!A:C,2,FALSE),VLOOKUP(K40,Tabelas!A:C,2,FALSE),VLOOKUP(J40,Tabelas!A:C,2,FALSE))</f>
        <v>1</v>
      </c>
    </row>
    <row r="41" spans="1:13" x14ac:dyDescent="0.25">
      <c r="A41" t="s">
        <v>395</v>
      </c>
      <c r="B41" s="145" t="str">
        <f t="shared" si="3"/>
        <v>A2</v>
      </c>
      <c r="C41" s="71">
        <v>0</v>
      </c>
      <c r="D41" s="142">
        <f>VLOOKUP(B41,Tabelas!A:C,3,FALSE)</f>
        <v>1</v>
      </c>
      <c r="E41" s="143">
        <f>VLOOKUP(B41,Tabelas!A:C,2,FALSE)</f>
        <v>0.875</v>
      </c>
      <c r="G41" s="75" t="s">
        <v>396</v>
      </c>
      <c r="H41" s="146">
        <v>0.7379</v>
      </c>
      <c r="I41" s="146">
        <v>0.81</v>
      </c>
      <c r="J41" s="71" t="s">
        <v>276</v>
      </c>
      <c r="K41" s="132" t="str">
        <f t="shared" si="4"/>
        <v>A3</v>
      </c>
      <c r="L41" s="132" t="str">
        <f t="shared" si="5"/>
        <v>A2</v>
      </c>
      <c r="M41" s="144">
        <f>MAX(VLOOKUP(L41,Tabelas!A:C,2,FALSE),VLOOKUP(K41,Tabelas!A:C,2,FALSE),VLOOKUP(J41,Tabelas!A:C,2,FALSE))</f>
        <v>0.875</v>
      </c>
    </row>
    <row r="42" spans="1:13" x14ac:dyDescent="0.25">
      <c r="A42" t="s">
        <v>696</v>
      </c>
      <c r="B42" s="145" t="str">
        <f t="shared" si="3"/>
        <v>A3</v>
      </c>
      <c r="C42" s="71">
        <v>1</v>
      </c>
      <c r="D42" s="142">
        <f>VLOOKUP(B42,Tabelas!A:C,3,FALSE)</f>
        <v>1</v>
      </c>
      <c r="E42" s="143">
        <f>VLOOKUP(B42,Tabelas!A:C,2,FALSE)</f>
        <v>0.75</v>
      </c>
      <c r="G42" s="75" t="s">
        <v>697</v>
      </c>
      <c r="H42" s="146"/>
      <c r="I42" s="146">
        <v>0.73</v>
      </c>
      <c r="J42" s="71" t="s">
        <v>299</v>
      </c>
      <c r="K42" s="132" t="str">
        <f t="shared" si="4"/>
        <v>NA</v>
      </c>
      <c r="L42" s="132" t="str">
        <f t="shared" si="5"/>
        <v>A3</v>
      </c>
      <c r="M42" s="144">
        <f>MAX(VLOOKUP(L42,Tabelas!A:C,2,FALSE),VLOOKUP(K42,Tabelas!A:C,2,FALSE),VLOOKUP(J42,Tabelas!A:C,2,FALSE))</f>
        <v>0.75</v>
      </c>
    </row>
    <row r="43" spans="1:13" x14ac:dyDescent="0.25">
      <c r="A43" t="s">
        <v>397</v>
      </c>
      <c r="B43" s="145" t="str">
        <f t="shared" si="3"/>
        <v>A2</v>
      </c>
      <c r="C43" s="71">
        <v>1</v>
      </c>
      <c r="D43" s="142">
        <f>VLOOKUP(B43,Tabelas!A:C,3,FALSE)</f>
        <v>1</v>
      </c>
      <c r="E43" s="143">
        <f>VLOOKUP(B43,Tabelas!A:C,2,FALSE)</f>
        <v>0.875</v>
      </c>
      <c r="G43" s="75" t="s">
        <v>398</v>
      </c>
      <c r="H43" s="146">
        <v>0.27379999999999999</v>
      </c>
      <c r="I43" s="146">
        <v>0.82</v>
      </c>
      <c r="J43" s="71" t="s">
        <v>276</v>
      </c>
      <c r="K43" s="132" t="str">
        <f t="shared" si="4"/>
        <v>B2</v>
      </c>
      <c r="L43" s="132" t="str">
        <f t="shared" si="5"/>
        <v>A2</v>
      </c>
      <c r="M43" s="144">
        <f>MAX(VLOOKUP(L43,Tabelas!A:C,2,FALSE),VLOOKUP(K43,Tabelas!A:C,2,FALSE),VLOOKUP(J43,Tabelas!A:C,2,FALSE))</f>
        <v>0.875</v>
      </c>
    </row>
    <row r="44" spans="1:13" x14ac:dyDescent="0.25">
      <c r="A44" t="s">
        <v>672</v>
      </c>
      <c r="B44" s="145" t="str">
        <f t="shared" si="3"/>
        <v>A2</v>
      </c>
      <c r="C44" s="71">
        <v>0</v>
      </c>
      <c r="D44" s="142">
        <f>VLOOKUP(B44,Tabelas!A:C,3,FALSE)</f>
        <v>1</v>
      </c>
      <c r="E44" s="143">
        <f>VLOOKUP(B44,Tabelas!A:C,2,FALSE)</f>
        <v>0.875</v>
      </c>
      <c r="G44" s="75" t="s">
        <v>698</v>
      </c>
      <c r="H44" s="146"/>
      <c r="I44" s="146">
        <v>0.82</v>
      </c>
      <c r="J44" s="71" t="s">
        <v>421</v>
      </c>
      <c r="K44" s="132" t="str">
        <f t="shared" si="4"/>
        <v>NA</v>
      </c>
      <c r="L44" s="132" t="str">
        <f t="shared" si="5"/>
        <v>A2</v>
      </c>
      <c r="M44" s="144">
        <f>MAX(VLOOKUP(L44,Tabelas!A:C,2,FALSE),VLOOKUP(K44,Tabelas!A:C,2,FALSE),VLOOKUP(J44,Tabelas!A:C,2,FALSE))</f>
        <v>0.875</v>
      </c>
    </row>
    <row r="45" spans="1:13" x14ac:dyDescent="0.25">
      <c r="A45" t="s">
        <v>399</v>
      </c>
      <c r="B45" s="145" t="str">
        <f t="shared" si="3"/>
        <v>A4</v>
      </c>
      <c r="C45" s="71">
        <v>0</v>
      </c>
      <c r="D45" s="142">
        <f>VLOOKUP(B45,Tabelas!A:C,3,FALSE)</f>
        <v>1</v>
      </c>
      <c r="E45" s="143">
        <f>VLOOKUP(B45,Tabelas!A:C,2,FALSE)</f>
        <v>0.625</v>
      </c>
      <c r="G45" s="75" t="s">
        <v>400</v>
      </c>
      <c r="H45" s="146">
        <v>0.22889999999999999</v>
      </c>
      <c r="I45" s="146">
        <v>0.52</v>
      </c>
      <c r="J45" s="71" t="s">
        <v>280</v>
      </c>
      <c r="K45" s="132" t="str">
        <f t="shared" si="4"/>
        <v>B3</v>
      </c>
      <c r="L45" s="132" t="str">
        <f t="shared" si="5"/>
        <v>A4</v>
      </c>
      <c r="M45" s="144">
        <f>MAX(VLOOKUP(L45,Tabelas!A:C,2,FALSE),VLOOKUP(K45,Tabelas!A:C,2,FALSE),VLOOKUP(J45,Tabelas!A:C,2,FALSE))</f>
        <v>0.625</v>
      </c>
    </row>
    <row r="46" spans="1:13" x14ac:dyDescent="0.25">
      <c r="A46" t="s">
        <v>401</v>
      </c>
      <c r="B46" s="145" t="str">
        <f t="shared" si="3"/>
        <v>A2</v>
      </c>
      <c r="C46" s="71">
        <v>0</v>
      </c>
      <c r="D46" s="142">
        <f>VLOOKUP(B46,Tabelas!A:C,3,FALSE)</f>
        <v>1</v>
      </c>
      <c r="E46" s="143">
        <f>VLOOKUP(B46,Tabelas!A:C,2,FALSE)</f>
        <v>0.875</v>
      </c>
      <c r="G46" s="75" t="s">
        <v>402</v>
      </c>
      <c r="H46" s="146">
        <v>0.65090000000000003</v>
      </c>
      <c r="I46" s="146">
        <v>0.78</v>
      </c>
      <c r="J46" s="71" t="s">
        <v>276</v>
      </c>
      <c r="K46" s="132" t="str">
        <f t="shared" si="4"/>
        <v>A3</v>
      </c>
      <c r="L46" s="132" t="str">
        <f t="shared" si="5"/>
        <v>A2</v>
      </c>
      <c r="M46" s="144">
        <f>MAX(VLOOKUP(L46,Tabelas!A:C,2,FALSE),VLOOKUP(K46,Tabelas!A:C,2,FALSE),VLOOKUP(J46,Tabelas!A:C,2,FALSE))</f>
        <v>0.875</v>
      </c>
    </row>
    <row r="47" spans="1:13" x14ac:dyDescent="0.25">
      <c r="A47" t="s">
        <v>403</v>
      </c>
      <c r="B47" s="145" t="str">
        <f t="shared" si="3"/>
        <v>A2</v>
      </c>
      <c r="C47" s="71">
        <v>1</v>
      </c>
      <c r="D47" s="142">
        <f>VLOOKUP(B47,Tabelas!A:C,3,FALSE)</f>
        <v>1</v>
      </c>
      <c r="E47" s="143">
        <f>VLOOKUP(B47,Tabelas!A:C,2,FALSE)</f>
        <v>0.875</v>
      </c>
      <c r="G47" s="75" t="s">
        <v>404</v>
      </c>
      <c r="H47" s="146">
        <v>0.5</v>
      </c>
      <c r="I47" s="146">
        <v>0.8</v>
      </c>
      <c r="J47" s="71" t="s">
        <v>276</v>
      </c>
      <c r="K47" s="132" t="str">
        <f t="shared" si="4"/>
        <v>B1</v>
      </c>
      <c r="L47" s="132" t="str">
        <f t="shared" si="5"/>
        <v>A2</v>
      </c>
      <c r="M47" s="144">
        <f>MAX(VLOOKUP(L47,Tabelas!A:C,2,FALSE),VLOOKUP(K47,Tabelas!A:C,2,FALSE),VLOOKUP(J47,Tabelas!A:C,2,FALSE))</f>
        <v>0.875</v>
      </c>
    </row>
    <row r="48" spans="1:13" x14ac:dyDescent="0.25">
      <c r="A48" t="s">
        <v>227</v>
      </c>
      <c r="B48" s="145" t="str">
        <f t="shared" si="3"/>
        <v>A1</v>
      </c>
      <c r="C48" s="71">
        <v>1</v>
      </c>
      <c r="D48" s="142">
        <f>VLOOKUP(B48,Tabelas!A:C,3,FALSE)</f>
        <v>1</v>
      </c>
      <c r="E48" s="143">
        <f>VLOOKUP(B48,Tabelas!A:C,2,FALSE)</f>
        <v>1</v>
      </c>
      <c r="G48" s="75" t="s">
        <v>405</v>
      </c>
      <c r="H48" s="146">
        <v>0.78</v>
      </c>
      <c r="I48" s="146">
        <v>0.94</v>
      </c>
      <c r="J48" s="71" t="s">
        <v>302</v>
      </c>
      <c r="K48" s="132" t="str">
        <f t="shared" si="4"/>
        <v>A2</v>
      </c>
      <c r="L48" s="132" t="str">
        <f t="shared" si="5"/>
        <v>A1</v>
      </c>
      <c r="M48" s="144">
        <f>MAX(VLOOKUP(L48,Tabelas!A:C,2,FALSE),VLOOKUP(K48,Tabelas!A:C,2,FALSE),VLOOKUP(J48,Tabelas!A:C,2,FALSE))</f>
        <v>1</v>
      </c>
    </row>
    <row r="49" spans="1:13" x14ac:dyDescent="0.25">
      <c r="A49" t="s">
        <v>204</v>
      </c>
      <c r="B49" s="145" t="str">
        <f t="shared" si="3"/>
        <v>B1</v>
      </c>
      <c r="C49" s="71">
        <v>1</v>
      </c>
      <c r="D49" s="142">
        <f>VLOOKUP(B49,Tabelas!A:C,3,FALSE)</f>
        <v>0</v>
      </c>
      <c r="E49" s="143">
        <f>VLOOKUP(B49,Tabelas!A:C,2,FALSE)</f>
        <v>0.5</v>
      </c>
      <c r="G49" s="75" t="s">
        <v>406</v>
      </c>
      <c r="H49" s="146">
        <v>0.1038</v>
      </c>
      <c r="I49" s="146">
        <v>0.45</v>
      </c>
      <c r="J49" s="71" t="s">
        <v>278</v>
      </c>
      <c r="K49" s="132" t="str">
        <f t="shared" si="4"/>
        <v>B4</v>
      </c>
      <c r="L49" s="132" t="str">
        <f t="shared" si="5"/>
        <v>B1</v>
      </c>
      <c r="M49" s="144">
        <f>MAX(VLOOKUP(L49,Tabelas!A:C,2,FALSE),VLOOKUP(K49,Tabelas!A:C,2,FALSE),VLOOKUP(J49,Tabelas!A:C,2,FALSE))</f>
        <v>0.5</v>
      </c>
    </row>
    <row r="50" spans="1:13" x14ac:dyDescent="0.25">
      <c r="A50" t="s">
        <v>240</v>
      </c>
      <c r="B50" s="145" t="str">
        <f t="shared" si="3"/>
        <v>A2</v>
      </c>
      <c r="C50" s="71">
        <v>0</v>
      </c>
      <c r="D50" s="142">
        <f>VLOOKUP(B50,Tabelas!A:C,3,FALSE)</f>
        <v>1</v>
      </c>
      <c r="E50" s="143">
        <f>VLOOKUP(B50,Tabelas!A:C,2,FALSE)</f>
        <v>0.875</v>
      </c>
      <c r="G50" s="75" t="s">
        <v>407</v>
      </c>
      <c r="H50" s="146">
        <v>0.58299999999999996</v>
      </c>
      <c r="I50" s="146">
        <v>0.78</v>
      </c>
      <c r="J50" s="71" t="s">
        <v>276</v>
      </c>
      <c r="K50" s="132" t="str">
        <f t="shared" si="4"/>
        <v>A4</v>
      </c>
      <c r="L50" s="132" t="str">
        <f t="shared" si="5"/>
        <v>A2</v>
      </c>
      <c r="M50" s="144">
        <f>MAX(VLOOKUP(L50,Tabelas!A:C,2,FALSE),VLOOKUP(K50,Tabelas!A:C,2,FALSE),VLOOKUP(J50,Tabelas!A:C,2,FALSE))</f>
        <v>0.875</v>
      </c>
    </row>
    <row r="51" spans="1:13" x14ac:dyDescent="0.25">
      <c r="A51" t="s">
        <v>197</v>
      </c>
      <c r="B51" s="145" t="str">
        <f t="shared" si="3"/>
        <v>B1</v>
      </c>
      <c r="C51" s="71">
        <v>1</v>
      </c>
      <c r="D51" s="142">
        <f>VLOOKUP(B51,Tabelas!A:C,3,FALSE)</f>
        <v>0</v>
      </c>
      <c r="E51" s="143">
        <f>VLOOKUP(B51,Tabelas!A:C,2,FALSE)</f>
        <v>0.5</v>
      </c>
      <c r="G51" s="75" t="s">
        <v>408</v>
      </c>
      <c r="H51" s="146">
        <v>0.20830000000000001</v>
      </c>
      <c r="I51" s="146">
        <v>0.4</v>
      </c>
      <c r="J51" s="71" t="s">
        <v>278</v>
      </c>
      <c r="K51" s="132" t="str">
        <f t="shared" si="4"/>
        <v>B3</v>
      </c>
      <c r="L51" s="132" t="str">
        <f t="shared" si="5"/>
        <v>B1</v>
      </c>
      <c r="M51" s="144">
        <f>MAX(VLOOKUP(L51,Tabelas!A:C,2,FALSE),VLOOKUP(K51,Tabelas!A:C,2,FALSE),VLOOKUP(J51,Tabelas!A:C,2,FALSE))</f>
        <v>0.5</v>
      </c>
    </row>
    <row r="52" spans="1:13" x14ac:dyDescent="0.25">
      <c r="A52" t="s">
        <v>245</v>
      </c>
      <c r="B52" s="145" t="str">
        <f t="shared" si="3"/>
        <v>B2</v>
      </c>
      <c r="D52" s="142">
        <f>VLOOKUP(B52,Tabelas!A:C,3,FALSE)</f>
        <v>0</v>
      </c>
      <c r="E52" s="143">
        <f>VLOOKUP(B52,Tabelas!A:C,2,FALSE)</f>
        <v>0.2</v>
      </c>
      <c r="G52" s="75" t="s">
        <v>409</v>
      </c>
      <c r="H52" s="146"/>
      <c r="I52" s="146"/>
      <c r="J52" s="71" t="s">
        <v>288</v>
      </c>
      <c r="K52" s="132" t="str">
        <f t="shared" si="4"/>
        <v>NA</v>
      </c>
      <c r="L52" s="132" t="str">
        <f t="shared" si="5"/>
        <v>NA</v>
      </c>
      <c r="M52" s="144">
        <f>MAX(VLOOKUP(L52,Tabelas!A:C,2,FALSE),VLOOKUP(K52,Tabelas!A:C,2,FALSE),VLOOKUP(J52,Tabelas!A:C,2,FALSE))</f>
        <v>0.2</v>
      </c>
    </row>
    <row r="53" spans="1:13" x14ac:dyDescent="0.25">
      <c r="A53" t="s">
        <v>410</v>
      </c>
      <c r="B53" s="145" t="str">
        <f t="shared" si="3"/>
        <v>B2</v>
      </c>
      <c r="C53" s="71">
        <v>0</v>
      </c>
      <c r="D53" s="142">
        <f>VLOOKUP(B53,Tabelas!A:C,3,FALSE)</f>
        <v>0</v>
      </c>
      <c r="E53" s="143">
        <f>VLOOKUP(B53,Tabelas!A:C,2,FALSE)</f>
        <v>0.2</v>
      </c>
      <c r="G53" s="75" t="s">
        <v>411</v>
      </c>
      <c r="H53" s="146">
        <v>5.5599999999999997E-2</v>
      </c>
      <c r="I53" s="146">
        <v>0.25</v>
      </c>
      <c r="J53" s="71" t="s">
        <v>288</v>
      </c>
      <c r="K53" s="132" t="str">
        <f t="shared" si="4"/>
        <v>B4</v>
      </c>
      <c r="L53" s="132" t="str">
        <f t="shared" si="5"/>
        <v>B3</v>
      </c>
      <c r="M53" s="144">
        <f>MAX(VLOOKUP(L53,Tabelas!A:C,2,FALSE),VLOOKUP(K53,Tabelas!A:C,2,FALSE),VLOOKUP(J53,Tabelas!A:C,2,FALSE))</f>
        <v>0.2</v>
      </c>
    </row>
    <row r="54" spans="1:13" x14ac:dyDescent="0.25">
      <c r="A54" t="s">
        <v>192</v>
      </c>
      <c r="B54" s="145" t="str">
        <f t="shared" si="3"/>
        <v>A4</v>
      </c>
      <c r="C54" s="71">
        <v>0</v>
      </c>
      <c r="D54" s="142">
        <f>VLOOKUP(B54,Tabelas!A:C,3,FALSE)</f>
        <v>1</v>
      </c>
      <c r="E54" s="143">
        <f>VLOOKUP(B54,Tabelas!A:C,2,FALSE)</f>
        <v>0.625</v>
      </c>
      <c r="H54" s="146"/>
      <c r="I54" s="146"/>
      <c r="J54" s="71" t="s">
        <v>280</v>
      </c>
      <c r="K54" s="132" t="str">
        <f t="shared" si="4"/>
        <v>NA</v>
      </c>
      <c r="L54" s="132" t="str">
        <f t="shared" si="5"/>
        <v>NA</v>
      </c>
      <c r="M54" s="144">
        <f>MAX(VLOOKUP(L54,Tabelas!A:C,2,FALSE),VLOOKUP(K54,Tabelas!A:C,2,FALSE),VLOOKUP(J54,Tabelas!A:C,2,FALSE))</f>
        <v>0.625</v>
      </c>
    </row>
    <row r="55" spans="1:13" x14ac:dyDescent="0.25">
      <c r="A55" t="s">
        <v>412</v>
      </c>
      <c r="B55" s="145" t="str">
        <f t="shared" si="3"/>
        <v>B2</v>
      </c>
      <c r="C55" s="71">
        <v>0</v>
      </c>
      <c r="D55" s="142">
        <f>VLOOKUP(B55,Tabelas!A:C,3,FALSE)</f>
        <v>0</v>
      </c>
      <c r="E55" s="143">
        <f>VLOOKUP(B55,Tabelas!A:C,2,FALSE)</f>
        <v>0.2</v>
      </c>
      <c r="H55" s="146"/>
      <c r="I55" s="146"/>
      <c r="J55" s="71" t="s">
        <v>288</v>
      </c>
      <c r="K55" s="132" t="str">
        <f t="shared" si="4"/>
        <v>NA</v>
      </c>
      <c r="L55" s="132" t="str">
        <f t="shared" si="5"/>
        <v>NA</v>
      </c>
      <c r="M55" s="144">
        <f>MAX(VLOOKUP(L55,Tabelas!A:C,2,FALSE),VLOOKUP(K55,Tabelas!A:C,2,FALSE),VLOOKUP(J55,Tabelas!A:C,2,FALSE))</f>
        <v>0.2</v>
      </c>
    </row>
    <row r="56" spans="1:13" x14ac:dyDescent="0.25">
      <c r="A56" t="s">
        <v>251</v>
      </c>
      <c r="B56" s="145" t="str">
        <f t="shared" si="3"/>
        <v>NA</v>
      </c>
      <c r="C56" s="71">
        <v>0</v>
      </c>
      <c r="D56" s="142">
        <f>VLOOKUP(B56,Tabelas!A:C,3,FALSE)</f>
        <v>0</v>
      </c>
      <c r="E56" s="143">
        <f>VLOOKUP(B56,Tabelas!A:C,2,FALSE)</f>
        <v>0</v>
      </c>
      <c r="H56" s="146"/>
      <c r="I56" s="146"/>
      <c r="J56" s="71" t="s">
        <v>421</v>
      </c>
      <c r="K56" s="132" t="str">
        <f t="shared" si="4"/>
        <v>NA</v>
      </c>
      <c r="L56" s="132" t="str">
        <f t="shared" si="5"/>
        <v>NA</v>
      </c>
      <c r="M56" s="144">
        <f>MAX(VLOOKUP(L56,Tabelas!A:C,2,FALSE),VLOOKUP(K56,Tabelas!A:C,2,FALSE),VLOOKUP(J56,Tabelas!A:C,2,FALSE))</f>
        <v>0</v>
      </c>
    </row>
    <row r="57" spans="1:13" x14ac:dyDescent="0.25">
      <c r="A57" t="s">
        <v>185</v>
      </c>
      <c r="B57" s="145" t="str">
        <f t="shared" si="3"/>
        <v>B1</v>
      </c>
      <c r="C57" s="71">
        <v>0</v>
      </c>
      <c r="D57" s="142">
        <f>VLOOKUP(B57,Tabelas!A:C,3,FALSE)</f>
        <v>0</v>
      </c>
      <c r="E57" s="143">
        <f>VLOOKUP(B57,Tabelas!A:C,2,FALSE)</f>
        <v>0.5</v>
      </c>
      <c r="G57" s="75" t="s">
        <v>413</v>
      </c>
      <c r="H57" s="146"/>
      <c r="I57" s="146"/>
      <c r="J57" s="71" t="s">
        <v>278</v>
      </c>
      <c r="K57" s="132" t="str">
        <f t="shared" si="4"/>
        <v>NA</v>
      </c>
      <c r="L57" s="132" t="str">
        <f t="shared" si="5"/>
        <v>NA</v>
      </c>
      <c r="M57" s="144">
        <f>MAX(VLOOKUP(L57,Tabelas!A:C,2,FALSE),VLOOKUP(K57,Tabelas!A:C,2,FALSE),VLOOKUP(J57,Tabelas!A:C,2,FALSE))</f>
        <v>0.5</v>
      </c>
    </row>
    <row r="58" spans="1:13" x14ac:dyDescent="0.25">
      <c r="A58" t="s">
        <v>414</v>
      </c>
      <c r="B58" s="145" t="str">
        <f t="shared" si="3"/>
        <v>A2</v>
      </c>
      <c r="C58" s="71">
        <v>1</v>
      </c>
      <c r="D58" s="142">
        <f>VLOOKUP(B58,Tabelas!A:C,3,FALSE)</f>
        <v>1</v>
      </c>
      <c r="E58" s="143">
        <f>VLOOKUP(B58,Tabelas!A:C,2,FALSE)</f>
        <v>0.875</v>
      </c>
      <c r="G58" s="75" t="s">
        <v>415</v>
      </c>
      <c r="H58" s="146">
        <v>0.22670000000000001</v>
      </c>
      <c r="I58" s="146">
        <v>0.76</v>
      </c>
      <c r="J58" s="71" t="s">
        <v>278</v>
      </c>
      <c r="K58" s="132" t="str">
        <f t="shared" si="4"/>
        <v>B3</v>
      </c>
      <c r="L58" s="132" t="str">
        <f t="shared" si="5"/>
        <v>A2</v>
      </c>
      <c r="M58" s="144">
        <f>MAX(VLOOKUP(L58,Tabelas!A:C,2,FALSE),VLOOKUP(K58,Tabelas!A:C,2,FALSE),VLOOKUP(J58,Tabelas!A:C,2,FALSE))</f>
        <v>0.875</v>
      </c>
    </row>
    <row r="59" spans="1:13" x14ac:dyDescent="0.25">
      <c r="A59" t="s">
        <v>222</v>
      </c>
      <c r="B59" s="145" t="str">
        <f t="shared" si="3"/>
        <v>A1</v>
      </c>
      <c r="C59" s="71">
        <v>1</v>
      </c>
      <c r="D59" s="142">
        <f>VLOOKUP(B59,Tabelas!A:C,3,FALSE)</f>
        <v>1</v>
      </c>
      <c r="E59" s="143">
        <f>VLOOKUP(B59,Tabelas!A:C,2,FALSE)</f>
        <v>1</v>
      </c>
      <c r="G59" s="75" t="s">
        <v>416</v>
      </c>
      <c r="H59" s="146">
        <v>0.8407</v>
      </c>
      <c r="I59" s="146">
        <v>0.91</v>
      </c>
      <c r="J59" s="71" t="s">
        <v>302</v>
      </c>
      <c r="K59" s="132" t="str">
        <f t="shared" si="4"/>
        <v>A2</v>
      </c>
      <c r="L59" s="132" t="str">
        <f t="shared" si="5"/>
        <v>A1</v>
      </c>
      <c r="M59" s="144">
        <f>MAX(VLOOKUP(L59,Tabelas!A:C,2,FALSE),VLOOKUP(K59,Tabelas!A:C,2,FALSE),VLOOKUP(J59,Tabelas!A:C,2,FALSE))</f>
        <v>1</v>
      </c>
    </row>
    <row r="60" spans="1:13" x14ac:dyDescent="0.25">
      <c r="A60" t="s">
        <v>417</v>
      </c>
      <c r="B60" s="145" t="str">
        <f t="shared" si="3"/>
        <v>A3</v>
      </c>
      <c r="C60" s="71">
        <v>1</v>
      </c>
      <c r="D60" s="142">
        <f>VLOOKUP(B60,Tabelas!A:C,3,FALSE)</f>
        <v>1</v>
      </c>
      <c r="E60" s="143">
        <f>VLOOKUP(B60,Tabelas!A:C,2,FALSE)</f>
        <v>0.75</v>
      </c>
      <c r="G60" s="75" t="s">
        <v>418</v>
      </c>
      <c r="H60" s="146">
        <v>0.4194</v>
      </c>
      <c r="I60" s="146">
        <v>0.69</v>
      </c>
      <c r="J60" s="71" t="s">
        <v>278</v>
      </c>
      <c r="K60" s="132" t="str">
        <f t="shared" si="4"/>
        <v>B1</v>
      </c>
      <c r="L60" s="132" t="str">
        <f t="shared" si="5"/>
        <v>A3</v>
      </c>
      <c r="M60" s="144">
        <f>MAX(VLOOKUP(L60,Tabelas!A:C,2,FALSE),VLOOKUP(K60,Tabelas!A:C,2,FALSE),VLOOKUP(J60,Tabelas!A:C,2,FALSE))</f>
        <v>0.75</v>
      </c>
    </row>
    <row r="61" spans="1:13" x14ac:dyDescent="0.25">
      <c r="A61" t="s">
        <v>211</v>
      </c>
      <c r="B61" s="145" t="str">
        <f t="shared" si="3"/>
        <v>A1</v>
      </c>
      <c r="C61" s="71">
        <v>0</v>
      </c>
      <c r="D61" s="142">
        <f>VLOOKUP(B61,Tabelas!A:C,3,FALSE)</f>
        <v>1</v>
      </c>
      <c r="E61" s="143">
        <f>VLOOKUP(B61,Tabelas!A:C,2,FALSE)</f>
        <v>1</v>
      </c>
      <c r="G61" s="75" t="s">
        <v>419</v>
      </c>
      <c r="H61" s="146">
        <v>0.90290000000000004</v>
      </c>
      <c r="I61" s="146">
        <v>0.9</v>
      </c>
      <c r="J61" s="71" t="s">
        <v>288</v>
      </c>
      <c r="K61" s="132" t="str">
        <f t="shared" si="4"/>
        <v>A1</v>
      </c>
      <c r="L61" s="132" t="str">
        <f t="shared" si="5"/>
        <v>A1</v>
      </c>
      <c r="M61" s="144">
        <f>MAX(VLOOKUP(L61,Tabelas!A:C,2,FALSE),VLOOKUP(K61,Tabelas!A:C,2,FALSE),VLOOKUP(J61,Tabelas!A:C,2,FALSE))</f>
        <v>1</v>
      </c>
    </row>
    <row r="62" spans="1:13" x14ac:dyDescent="0.25">
      <c r="A62" t="s">
        <v>252</v>
      </c>
      <c r="B62" s="145" t="str">
        <f t="shared" si="3"/>
        <v>A2</v>
      </c>
      <c r="C62" s="71">
        <v>1</v>
      </c>
      <c r="D62" s="142">
        <f>VLOOKUP(B62,Tabelas!A:C,3,FALSE)</f>
        <v>1</v>
      </c>
      <c r="E62" s="143">
        <f>VLOOKUP(B62,Tabelas!A:C,2,FALSE)</f>
        <v>0.875</v>
      </c>
      <c r="H62" s="146">
        <v>0.48</v>
      </c>
      <c r="I62" s="146">
        <v>0.77</v>
      </c>
      <c r="J62" s="71" t="s">
        <v>299</v>
      </c>
      <c r="K62" s="132" t="str">
        <f t="shared" si="4"/>
        <v>B1</v>
      </c>
      <c r="L62" s="132" t="str">
        <f t="shared" si="5"/>
        <v>A2</v>
      </c>
      <c r="M62" s="144">
        <f>MAX(VLOOKUP(L62,Tabelas!A:C,2,FALSE),VLOOKUP(K62,Tabelas!A:C,2,FALSE),VLOOKUP(J62,Tabelas!A:C,2,FALSE))</f>
        <v>0.875</v>
      </c>
    </row>
    <row r="63" spans="1:13" x14ac:dyDescent="0.25">
      <c r="A63" t="s">
        <v>247</v>
      </c>
      <c r="B63" s="145" t="str">
        <f t="shared" si="3"/>
        <v>A4</v>
      </c>
      <c r="C63" s="71">
        <v>1</v>
      </c>
      <c r="D63" s="142">
        <f>VLOOKUP(B63,Tabelas!A:C,3,FALSE)</f>
        <v>1</v>
      </c>
      <c r="E63" s="143">
        <f>VLOOKUP(B63,Tabelas!A:C,2,FALSE)</f>
        <v>0.625</v>
      </c>
      <c r="H63" s="146"/>
      <c r="I63" s="146">
        <v>0.61</v>
      </c>
      <c r="J63" s="71" t="s">
        <v>420</v>
      </c>
      <c r="K63" s="132" t="str">
        <f t="shared" si="4"/>
        <v>NA</v>
      </c>
      <c r="L63" s="132" t="str">
        <f t="shared" si="5"/>
        <v>A4</v>
      </c>
      <c r="M63" s="144">
        <f>MAX(VLOOKUP(L63,Tabelas!A:C,2,FALSE),VLOOKUP(K63,Tabelas!A:C,2,FALSE),VLOOKUP(J63,Tabelas!A:C,2,FALSE))</f>
        <v>0.625</v>
      </c>
    </row>
    <row r="64" spans="1:13" x14ac:dyDescent="0.25">
      <c r="A64" t="s">
        <v>214</v>
      </c>
      <c r="B64" s="145" t="str">
        <f t="shared" si="3"/>
        <v>NA</v>
      </c>
      <c r="C64" s="71">
        <v>0</v>
      </c>
      <c r="D64" s="142">
        <f>VLOOKUP(B64,Tabelas!A:C,3,FALSE)</f>
        <v>0</v>
      </c>
      <c r="E64" s="143">
        <f>VLOOKUP(B64,Tabelas!A:C,2,FALSE)</f>
        <v>0</v>
      </c>
      <c r="H64" s="146"/>
      <c r="I64" s="146"/>
      <c r="J64" s="71" t="s">
        <v>421</v>
      </c>
      <c r="K64" s="132" t="str">
        <f t="shared" si="4"/>
        <v>NA</v>
      </c>
      <c r="L64" s="132" t="str">
        <f t="shared" si="5"/>
        <v>NA</v>
      </c>
      <c r="M64" s="144">
        <f>MAX(VLOOKUP(L64,Tabelas!A:C,2,FALSE),VLOOKUP(K64,Tabelas!A:C,2,FALSE),VLOOKUP(J64,Tabelas!A:C,2,FALSE))</f>
        <v>0</v>
      </c>
    </row>
    <row r="65" spans="1:13" x14ac:dyDescent="0.25">
      <c r="A65" t="s">
        <v>249</v>
      </c>
      <c r="B65" s="145" t="str">
        <f t="shared" si="3"/>
        <v>A1</v>
      </c>
      <c r="C65" s="71">
        <v>1</v>
      </c>
      <c r="D65" s="142">
        <f>VLOOKUP(B65,Tabelas!A:C,3,FALSE)</f>
        <v>1</v>
      </c>
      <c r="E65" s="143">
        <f>VLOOKUP(B65,Tabelas!A:C,2,FALSE)</f>
        <v>1</v>
      </c>
      <c r="G65" s="75" t="s">
        <v>426</v>
      </c>
      <c r="H65" s="146">
        <v>0.74</v>
      </c>
      <c r="I65" s="146">
        <v>0.89</v>
      </c>
      <c r="J65" s="71" t="s">
        <v>276</v>
      </c>
      <c r="K65" s="132" t="str">
        <f t="shared" si="4"/>
        <v>A3</v>
      </c>
      <c r="L65" s="132" t="str">
        <f t="shared" si="5"/>
        <v>A1</v>
      </c>
      <c r="M65" s="144">
        <f>MAX(VLOOKUP(L65,Tabelas!A:C,2,FALSE),VLOOKUP(K65,Tabelas!A:C,2,FALSE),VLOOKUP(J65,Tabelas!A:C,2,FALSE))</f>
        <v>1</v>
      </c>
    </row>
    <row r="66" spans="1:13" x14ac:dyDescent="0.25">
      <c r="A66" t="s">
        <v>242</v>
      </c>
      <c r="B66" s="145" t="str">
        <f t="shared" si="3"/>
        <v>A1</v>
      </c>
      <c r="C66" s="71">
        <v>0</v>
      </c>
      <c r="D66" s="142">
        <f>VLOOKUP(B66,Tabelas!A:C,3,FALSE)</f>
        <v>1</v>
      </c>
      <c r="E66" s="143">
        <f>VLOOKUP(B66,Tabelas!A:C,2,FALSE)</f>
        <v>1</v>
      </c>
      <c r="H66" s="146"/>
      <c r="I66" s="146">
        <v>0.97</v>
      </c>
      <c r="J66" s="71" t="s">
        <v>302</v>
      </c>
      <c r="K66" s="132" t="str">
        <f t="shared" si="4"/>
        <v>NA</v>
      </c>
      <c r="L66" s="132" t="str">
        <f t="shared" si="5"/>
        <v>A1</v>
      </c>
      <c r="M66" s="144">
        <f>MAX(VLOOKUP(L66,Tabelas!A:C,2,FALSE),VLOOKUP(K66,Tabelas!A:C,2,FALSE),VLOOKUP(J66,Tabelas!A:C,2,FALSE))</f>
        <v>1</v>
      </c>
    </row>
    <row r="67" spans="1:13" x14ac:dyDescent="0.25">
      <c r="A67" t="s">
        <v>422</v>
      </c>
      <c r="B67" s="145" t="str">
        <f t="shared" si="3"/>
        <v>A4</v>
      </c>
      <c r="C67" s="71">
        <v>1</v>
      </c>
      <c r="D67" s="142">
        <f>VLOOKUP(B67,Tabelas!A:C,3,FALSE)</f>
        <v>1</v>
      </c>
      <c r="E67" s="143">
        <f>VLOOKUP(B67,Tabelas!A:C,2,FALSE)</f>
        <v>0.625</v>
      </c>
      <c r="G67" s="75" t="s">
        <v>423</v>
      </c>
      <c r="H67" s="146">
        <v>0.43</v>
      </c>
      <c r="I67" s="146">
        <v>0.59</v>
      </c>
      <c r="J67" s="71" t="s">
        <v>421</v>
      </c>
      <c r="K67" s="132" t="str">
        <f t="shared" si="4"/>
        <v>B1</v>
      </c>
      <c r="L67" s="132" t="str">
        <f t="shared" si="5"/>
        <v>A4</v>
      </c>
      <c r="M67" s="144">
        <f>MAX(VLOOKUP(L67,Tabelas!A:C,2,FALSE),VLOOKUP(K67,Tabelas!A:C,2,FALSE),VLOOKUP(J67,Tabelas!A:C,2,FALSE))</f>
        <v>0.625</v>
      </c>
    </row>
    <row r="68" spans="1:13" x14ac:dyDescent="0.25">
      <c r="A68" t="s">
        <v>703</v>
      </c>
      <c r="B68" s="145" t="str">
        <f t="shared" si="3"/>
        <v>A3</v>
      </c>
      <c r="C68" s="71">
        <v>1</v>
      </c>
      <c r="D68" s="142">
        <f>VLOOKUP(B68,Tabelas!A:C,3,FALSE)</f>
        <v>1</v>
      </c>
      <c r="E68" s="143">
        <f>VLOOKUP(B68,Tabelas!A:C,2,FALSE)</f>
        <v>0.75</v>
      </c>
      <c r="G68" s="75" t="s">
        <v>702</v>
      </c>
      <c r="H68" s="146"/>
      <c r="I68" s="146">
        <v>0.68</v>
      </c>
      <c r="J68" s="71" t="s">
        <v>299</v>
      </c>
      <c r="K68" s="132" t="str">
        <f t="shared" si="4"/>
        <v>NA</v>
      </c>
      <c r="L68" s="132" t="str">
        <f t="shared" si="5"/>
        <v>A3</v>
      </c>
      <c r="M68" s="144">
        <f>MAX(VLOOKUP(L68,Tabelas!A:C,2,FALSE),VLOOKUP(K68,Tabelas!A:C,2,FALSE),VLOOKUP(J68,Tabelas!A:C,2,FALSE))</f>
        <v>0.75</v>
      </c>
    </row>
    <row r="69" spans="1:13" x14ac:dyDescent="0.25">
      <c r="A69" t="s">
        <v>705</v>
      </c>
      <c r="B69" s="145" t="str">
        <f t="shared" si="3"/>
        <v>NA</v>
      </c>
      <c r="C69" s="71">
        <v>0</v>
      </c>
      <c r="D69" s="142">
        <f>VLOOKUP(B69,Tabelas!A:C,3,FALSE)</f>
        <v>0</v>
      </c>
      <c r="E69" s="143">
        <f>VLOOKUP(B69,Tabelas!A:C,2,FALSE)</f>
        <v>0</v>
      </c>
      <c r="G69" s="75" t="s">
        <v>706</v>
      </c>
      <c r="H69" s="146"/>
      <c r="I69" s="146"/>
      <c r="J69" s="71" t="s">
        <v>421</v>
      </c>
      <c r="K69" s="132" t="str">
        <f t="shared" si="4"/>
        <v>NA</v>
      </c>
      <c r="L69" s="132" t="str">
        <f t="shared" si="5"/>
        <v>NA</v>
      </c>
      <c r="M69" s="144">
        <f>MAX(VLOOKUP(L69,Tabelas!A:C,2,FALSE),VLOOKUP(K69,Tabelas!A:C,2,FALSE),VLOOKUP(J69,Tabelas!A:C,2,FALSE))</f>
        <v>0</v>
      </c>
    </row>
    <row r="70" spans="1:13" x14ac:dyDescent="0.25">
      <c r="A70" t="s">
        <v>711</v>
      </c>
      <c r="B70" s="145" t="str">
        <f t="shared" si="3"/>
        <v>A1</v>
      </c>
      <c r="C70" s="71">
        <v>1</v>
      </c>
      <c r="D70" s="142">
        <f>VLOOKUP(B70,Tabelas!A:C,3,FALSE)</f>
        <v>1</v>
      </c>
      <c r="E70" s="143">
        <f>VLOOKUP(B70,Tabelas!A:C,2,FALSE)</f>
        <v>1</v>
      </c>
      <c r="G70" s="75" t="s">
        <v>712</v>
      </c>
      <c r="H70" s="146"/>
      <c r="I70" s="146">
        <v>0.95</v>
      </c>
      <c r="J70" s="71" t="s">
        <v>302</v>
      </c>
      <c r="K70" s="132" t="str">
        <f t="shared" si="4"/>
        <v>NA</v>
      </c>
      <c r="L70" s="132" t="str">
        <f t="shared" si="5"/>
        <v>A1</v>
      </c>
      <c r="M70" s="144">
        <f>MAX(VLOOKUP(L70,Tabelas!A:C,2,FALSE),VLOOKUP(K70,Tabelas!A:C,2,FALSE),VLOOKUP(J70,Tabelas!A:C,2,FALSE))</f>
        <v>1</v>
      </c>
    </row>
    <row r="71" spans="1:13" x14ac:dyDescent="0.25">
      <c r="H71" s="146"/>
      <c r="I71" s="146"/>
    </row>
    <row r="72" spans="1:13" x14ac:dyDescent="0.25">
      <c r="H72" s="146"/>
      <c r="I72" s="146"/>
    </row>
    <row r="73" spans="1:13" x14ac:dyDescent="0.25">
      <c r="H73" s="146"/>
      <c r="I73" s="146"/>
    </row>
    <row r="74" spans="1:13" x14ac:dyDescent="0.25">
      <c r="H74" s="146"/>
      <c r="I74" s="146"/>
    </row>
    <row r="75" spans="1:13" x14ac:dyDescent="0.25">
      <c r="H75" s="146"/>
      <c r="I75" s="146"/>
    </row>
    <row r="76" spans="1:13" x14ac:dyDescent="0.25">
      <c r="H76" s="146"/>
      <c r="I76" s="146"/>
    </row>
    <row r="77" spans="1:13" x14ac:dyDescent="0.25">
      <c r="H77" s="146"/>
      <c r="I77" s="146"/>
    </row>
    <row r="78" spans="1:13" x14ac:dyDescent="0.25">
      <c r="H78" s="146"/>
      <c r="I78" s="146"/>
    </row>
    <row r="79" spans="1:13" x14ac:dyDescent="0.25">
      <c r="H79" s="146"/>
      <c r="I79" s="146"/>
    </row>
    <row r="80" spans="1:13" x14ac:dyDescent="0.25">
      <c r="H80" s="146"/>
      <c r="I80" s="146"/>
    </row>
    <row r="81" spans="8:9" x14ac:dyDescent="0.25">
      <c r="H81" s="146"/>
      <c r="I81" s="146"/>
    </row>
    <row r="82" spans="8:9" x14ac:dyDescent="0.25">
      <c r="H82" s="146"/>
      <c r="I82" s="146"/>
    </row>
    <row r="83" spans="8:9" x14ac:dyDescent="0.25">
      <c r="H83" s="146"/>
      <c r="I83" s="146"/>
    </row>
    <row r="84" spans="8:9" x14ac:dyDescent="0.25">
      <c r="H84" s="146"/>
      <c r="I84" s="146"/>
    </row>
    <row r="85" spans="8:9" x14ac:dyDescent="0.25">
      <c r="H85" s="146"/>
      <c r="I85" s="146"/>
    </row>
    <row r="86" spans="8:9" x14ac:dyDescent="0.25">
      <c r="H86" s="146"/>
      <c r="I86" s="146"/>
    </row>
    <row r="87" spans="8:9" x14ac:dyDescent="0.25">
      <c r="H87" s="146"/>
      <c r="I87" s="146"/>
    </row>
    <row r="88" spans="8:9" x14ac:dyDescent="0.25">
      <c r="H88" s="146"/>
      <c r="I88" s="146"/>
    </row>
    <row r="89" spans="8:9" x14ac:dyDescent="0.25">
      <c r="H89" s="146"/>
      <c r="I89" s="146"/>
    </row>
    <row r="90" spans="8:9" x14ac:dyDescent="0.25">
      <c r="H90" s="146"/>
      <c r="I90" s="146"/>
    </row>
    <row r="91" spans="8:9" x14ac:dyDescent="0.25">
      <c r="H91" s="146"/>
      <c r="I91" s="146"/>
    </row>
    <row r="92" spans="8:9" x14ac:dyDescent="0.25">
      <c r="H92" s="146"/>
      <c r="I92" s="146"/>
    </row>
    <row r="93" spans="8:9" x14ac:dyDescent="0.25">
      <c r="H93" s="146"/>
      <c r="I93" s="146"/>
    </row>
    <row r="94" spans="8:9" x14ac:dyDescent="0.25">
      <c r="H94" s="146"/>
      <c r="I94" s="146"/>
    </row>
    <row r="95" spans="8:9" x14ac:dyDescent="0.25">
      <c r="H95" s="146"/>
      <c r="I95" s="146"/>
    </row>
    <row r="96" spans="8:9" x14ac:dyDescent="0.25">
      <c r="H96" s="146"/>
      <c r="I96" s="146"/>
    </row>
    <row r="97" spans="8:9" x14ac:dyDescent="0.25">
      <c r="H97" s="146"/>
      <c r="I97" s="146"/>
    </row>
    <row r="98" spans="8:9" x14ac:dyDescent="0.25">
      <c r="H98" s="146"/>
      <c r="I98" s="146"/>
    </row>
    <row r="99" spans="8:9" x14ac:dyDescent="0.25">
      <c r="H99" s="146"/>
      <c r="I99" s="146"/>
    </row>
    <row r="100" spans="8:9" x14ac:dyDescent="0.25">
      <c r="H100" s="146"/>
      <c r="I100" s="146"/>
    </row>
    <row r="101" spans="8:9" x14ac:dyDescent="0.25">
      <c r="H101" s="146"/>
      <c r="I101" s="146"/>
    </row>
    <row r="102" spans="8:9" x14ac:dyDescent="0.25">
      <c r="H102" s="146"/>
      <c r="I102" s="146"/>
    </row>
    <row r="103" spans="8:9" x14ac:dyDescent="0.25">
      <c r="H103" s="146"/>
      <c r="I103" s="146"/>
    </row>
    <row r="104" spans="8:9" x14ac:dyDescent="0.25">
      <c r="H104" s="146"/>
      <c r="I104" s="146"/>
    </row>
    <row r="105" spans="8:9" x14ac:dyDescent="0.25">
      <c r="H105" s="146"/>
      <c r="I105" s="146"/>
    </row>
    <row r="106" spans="8:9" x14ac:dyDescent="0.25">
      <c r="H106" s="146"/>
      <c r="I106" s="146"/>
    </row>
    <row r="107" spans="8:9" x14ac:dyDescent="0.25">
      <c r="H107" s="146"/>
      <c r="I107" s="146"/>
    </row>
    <row r="108" spans="8:9" x14ac:dyDescent="0.25">
      <c r="H108" s="146"/>
      <c r="I108" s="146"/>
    </row>
    <row r="109" spans="8:9" x14ac:dyDescent="0.25">
      <c r="H109" s="146"/>
      <c r="I109" s="146"/>
    </row>
    <row r="110" spans="8:9" x14ac:dyDescent="0.25">
      <c r="H110" s="146"/>
      <c r="I110" s="146"/>
    </row>
    <row r="111" spans="8:9" x14ac:dyDescent="0.25">
      <c r="H111" s="146"/>
      <c r="I111" s="146"/>
    </row>
    <row r="112" spans="8:9" x14ac:dyDescent="0.25">
      <c r="H112" s="146"/>
      <c r="I112" s="146"/>
    </row>
    <row r="113" spans="8:9" x14ac:dyDescent="0.25">
      <c r="H113" s="146"/>
      <c r="I113" s="146"/>
    </row>
    <row r="114" spans="8:9" x14ac:dyDescent="0.25">
      <c r="H114" s="146"/>
      <c r="I114" s="146"/>
    </row>
    <row r="115" spans="8:9" x14ac:dyDescent="0.25">
      <c r="H115" s="146"/>
      <c r="I115" s="146"/>
    </row>
    <row r="116" spans="8:9" x14ac:dyDescent="0.25">
      <c r="H116" s="146"/>
      <c r="I116" s="146"/>
    </row>
    <row r="117" spans="8:9" x14ac:dyDescent="0.25">
      <c r="H117" s="146"/>
      <c r="I117" s="146"/>
    </row>
    <row r="118" spans="8:9" x14ac:dyDescent="0.25">
      <c r="H118" s="146"/>
      <c r="I118" s="146"/>
    </row>
    <row r="119" spans="8:9" x14ac:dyDescent="0.25">
      <c r="H119" s="146"/>
      <c r="I119" s="146"/>
    </row>
    <row r="120" spans="8:9" x14ac:dyDescent="0.25">
      <c r="H120" s="146"/>
      <c r="I120" s="146"/>
    </row>
    <row r="121" spans="8:9" x14ac:dyDescent="0.25">
      <c r="H121" s="146"/>
      <c r="I121" s="146"/>
    </row>
    <row r="122" spans="8:9" x14ac:dyDescent="0.25">
      <c r="H122" s="146"/>
      <c r="I122" s="146"/>
    </row>
    <row r="123" spans="8:9" x14ac:dyDescent="0.25">
      <c r="H123" s="146"/>
      <c r="I123" s="146"/>
    </row>
  </sheetData>
  <autoFilter ref="A1:M1" xr:uid="{A338BFAC-30BD-47A1-9402-9D784B004D19}">
    <sortState xmlns:xlrd2="http://schemas.microsoft.com/office/spreadsheetml/2017/richdata2" ref="A2:M67">
      <sortCondition ref="A1:A67"/>
    </sortState>
  </autoFilter>
  <sortState xmlns:xlrd2="http://schemas.microsoft.com/office/spreadsheetml/2017/richdata2" ref="A2:M60">
    <sortCondition ref="A2:A6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zoomScaleNormal="100" workbookViewId="0">
      <selection activeCell="H12" sqref="H12"/>
    </sheetView>
  </sheetViews>
  <sheetFormatPr defaultColWidth="11" defaultRowHeight="15.75" x14ac:dyDescent="0.25"/>
  <cols>
    <col min="2" max="2" width="11" style="36"/>
    <col min="3" max="3" width="11" style="8"/>
    <col min="5" max="5" width="11" style="36"/>
  </cols>
  <sheetData>
    <row r="1" spans="1:5" x14ac:dyDescent="0.25">
      <c r="A1" t="s">
        <v>60</v>
      </c>
      <c r="B1" s="36" t="s">
        <v>427</v>
      </c>
      <c r="C1" s="8" t="s">
        <v>22</v>
      </c>
    </row>
    <row r="2" spans="1:5" x14ac:dyDescent="0.25">
      <c r="A2" t="s">
        <v>302</v>
      </c>
      <c r="B2" s="36">
        <v>1</v>
      </c>
      <c r="C2" s="8">
        <v>1</v>
      </c>
      <c r="D2">
        <v>0</v>
      </c>
      <c r="E2" s="36">
        <f>1-D2/8</f>
        <v>1</v>
      </c>
    </row>
    <row r="3" spans="1:5" x14ac:dyDescent="0.25">
      <c r="A3" t="s">
        <v>276</v>
      </c>
      <c r="B3" s="36">
        <v>0.875</v>
      </c>
      <c r="C3" s="8">
        <v>1</v>
      </c>
      <c r="D3">
        <v>1</v>
      </c>
      <c r="E3" s="36">
        <f>1-D3/8</f>
        <v>0.875</v>
      </c>
    </row>
    <row r="4" spans="1:5" x14ac:dyDescent="0.25">
      <c r="A4" t="s">
        <v>299</v>
      </c>
      <c r="B4" s="36">
        <v>0.75</v>
      </c>
      <c r="C4" s="8">
        <v>1</v>
      </c>
      <c r="D4">
        <v>2</v>
      </c>
      <c r="E4" s="36">
        <f>1-D4/8</f>
        <v>0.75</v>
      </c>
    </row>
    <row r="5" spans="1:5" x14ac:dyDescent="0.25">
      <c r="A5" t="s">
        <v>280</v>
      </c>
      <c r="B5" s="36">
        <v>0.625</v>
      </c>
      <c r="C5" s="8">
        <v>1</v>
      </c>
      <c r="D5">
        <v>3</v>
      </c>
      <c r="E5" s="36">
        <f>1-D5/8</f>
        <v>0.625</v>
      </c>
    </row>
    <row r="6" spans="1:5" x14ac:dyDescent="0.25">
      <c r="A6" t="s">
        <v>278</v>
      </c>
      <c r="B6" s="36">
        <v>0.5</v>
      </c>
      <c r="C6" s="8">
        <v>0</v>
      </c>
      <c r="D6">
        <v>4</v>
      </c>
      <c r="E6" s="36">
        <f>1-D6/8</f>
        <v>0.5</v>
      </c>
    </row>
    <row r="7" spans="1:5" x14ac:dyDescent="0.25">
      <c r="A7" t="s">
        <v>288</v>
      </c>
      <c r="B7" s="36">
        <v>0.2</v>
      </c>
      <c r="C7" s="8">
        <v>0</v>
      </c>
      <c r="D7">
        <v>5</v>
      </c>
      <c r="E7" s="36">
        <v>0.2</v>
      </c>
    </row>
    <row r="8" spans="1:5" x14ac:dyDescent="0.25">
      <c r="A8" t="s">
        <v>283</v>
      </c>
      <c r="B8" s="36">
        <v>0.1</v>
      </c>
      <c r="C8" s="8">
        <v>0</v>
      </c>
      <c r="D8">
        <v>6</v>
      </c>
      <c r="E8" s="36">
        <v>0.1</v>
      </c>
    </row>
    <row r="9" spans="1:5" x14ac:dyDescent="0.25">
      <c r="A9" t="s">
        <v>281</v>
      </c>
      <c r="B9" s="36">
        <v>0.05</v>
      </c>
      <c r="C9" s="8">
        <v>0</v>
      </c>
      <c r="D9">
        <v>7</v>
      </c>
      <c r="E9" s="36">
        <v>0.05</v>
      </c>
    </row>
    <row r="10" spans="1:5" x14ac:dyDescent="0.25">
      <c r="A10" t="s">
        <v>425</v>
      </c>
      <c r="B10" s="36">
        <v>0</v>
      </c>
      <c r="C10" s="8">
        <v>0</v>
      </c>
      <c r="D10">
        <v>8</v>
      </c>
      <c r="E10" s="36">
        <v>0</v>
      </c>
    </row>
    <row r="11" spans="1:5" x14ac:dyDescent="0.25">
      <c r="A11" t="s">
        <v>421</v>
      </c>
      <c r="B11" s="36">
        <v>0</v>
      </c>
      <c r="C11" s="8">
        <v>0</v>
      </c>
      <c r="D11">
        <v>9</v>
      </c>
      <c r="E11" s="36">
        <v>0</v>
      </c>
    </row>
    <row r="12" spans="1:5" x14ac:dyDescent="0.25">
      <c r="A12" t="s">
        <v>420</v>
      </c>
      <c r="B12" s="36">
        <v>0</v>
      </c>
      <c r="C12" s="8">
        <v>0</v>
      </c>
      <c r="D12">
        <v>10</v>
      </c>
      <c r="E12" s="36">
        <v>0</v>
      </c>
    </row>
    <row r="13" spans="1:5" x14ac:dyDescent="0.25">
      <c r="A13" t="s">
        <v>274</v>
      </c>
      <c r="B13" s="36">
        <v>0</v>
      </c>
      <c r="C13" s="8">
        <v>0</v>
      </c>
      <c r="D13">
        <v>11</v>
      </c>
      <c r="E13" s="36">
        <v>0</v>
      </c>
    </row>
    <row r="20" spans="9:9" x14ac:dyDescent="0.25">
      <c r="I20">
        <f>VLOOKUP("NI",Tabelas!A:C,2,FALSE)</f>
        <v>0</v>
      </c>
    </row>
  </sheetData>
  <sortState xmlns:xlrd2="http://schemas.microsoft.com/office/spreadsheetml/2017/richdata2" ref="A2:B19">
    <sortCondition descending="1" ref="B2:B19"/>
    <sortCondition ref="A2:A19"/>
  </sortState>
  <customSheetViews>
    <customSheetView guid="{72A84248-7528-4641-93C6-9429A7C96A1B}">
      <selection activeCell="D4" sqref="D4"/>
      <pageMargins left="0" right="0" top="0" bottom="0" header="0" footer="0"/>
    </customSheetView>
    <customSheetView guid="{D17159D6-6700-6A49-8FAF-59B9A63C8B44}">
      <selection activeCell="D4" sqref="D4"/>
      <pageMargins left="0" right="0" top="0" bottom="0" header="0" footer="0"/>
    </customSheetView>
  </customSheetView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9965-6A84-4F89-A465-4204D0C4D5EF}">
  <dimension ref="B1:Z44"/>
  <sheetViews>
    <sheetView workbookViewId="0">
      <selection activeCell="E11" sqref="E11"/>
    </sheetView>
  </sheetViews>
  <sheetFormatPr defaultColWidth="8.875" defaultRowHeight="15.75" x14ac:dyDescent="0.25"/>
  <cols>
    <col min="1" max="1" width="1.625" customWidth="1"/>
    <col min="2" max="2" width="24.125" style="42" bestFit="1" customWidth="1"/>
    <col min="3" max="3" width="10.125" style="42" customWidth="1"/>
    <col min="4" max="4" width="9.125" style="42" customWidth="1"/>
    <col min="5" max="6" width="9" style="42"/>
    <col min="7" max="7" width="9.125" style="42" customWidth="1"/>
    <col min="8" max="10" width="9" style="42"/>
    <col min="11" max="11" width="1.625" customWidth="1"/>
    <col min="12" max="12" width="34" bestFit="1" customWidth="1"/>
    <col min="13" max="13" width="13.625" bestFit="1" customWidth="1"/>
    <col min="14" max="14" width="13.625" style="12" customWidth="1"/>
    <col min="15" max="15" width="1.625" customWidth="1"/>
    <col min="16" max="16" width="34" bestFit="1" customWidth="1"/>
    <col min="17" max="17" width="13.625" bestFit="1" customWidth="1"/>
    <col min="18" max="18" width="13.625" style="12" customWidth="1"/>
    <col min="19" max="19" width="1.625" customWidth="1"/>
    <col min="20" max="20" width="40.125" bestFit="1" customWidth="1"/>
    <col min="21" max="21" width="13.625" bestFit="1" customWidth="1"/>
    <col min="22" max="22" width="13.625" style="12" customWidth="1"/>
    <col min="23" max="23" width="1.625" customWidth="1"/>
    <col min="24" max="24" width="40.125" bestFit="1" customWidth="1"/>
    <col min="25" max="25" width="13.625" bestFit="1" customWidth="1"/>
    <col min="26" max="26" width="13.625" style="12" customWidth="1"/>
    <col min="27" max="27" width="1.625" customWidth="1"/>
  </cols>
  <sheetData>
    <row r="1" spans="2:26" x14ac:dyDescent="0.25">
      <c r="L1" t="s">
        <v>428</v>
      </c>
      <c r="P1" t="s">
        <v>429</v>
      </c>
      <c r="T1" t="s">
        <v>430</v>
      </c>
      <c r="X1" t="s">
        <v>431</v>
      </c>
    </row>
    <row r="2" spans="2:26" x14ac:dyDescent="0.25">
      <c r="B2" s="43" t="s">
        <v>432</v>
      </c>
      <c r="C2" s="52" t="s">
        <v>433</v>
      </c>
      <c r="D2" s="52" t="s">
        <v>434</v>
      </c>
      <c r="E2" s="52" t="s">
        <v>435</v>
      </c>
      <c r="F2" s="52" t="s">
        <v>436</v>
      </c>
      <c r="G2" s="52" t="s">
        <v>437</v>
      </c>
      <c r="L2" s="40" t="s">
        <v>22</v>
      </c>
      <c r="M2" t="s">
        <v>438</v>
      </c>
      <c r="P2" s="40" t="s">
        <v>22</v>
      </c>
      <c r="Q2" s="41">
        <v>1</v>
      </c>
      <c r="T2" s="40" t="s">
        <v>22</v>
      </c>
      <c r="U2" t="s">
        <v>438</v>
      </c>
      <c r="X2" s="40" t="s">
        <v>22</v>
      </c>
      <c r="Y2" s="41">
        <v>1</v>
      </c>
    </row>
    <row r="3" spans="2:26" x14ac:dyDescent="0.25">
      <c r="B3" s="53" t="s">
        <v>439</v>
      </c>
      <c r="C3" s="53">
        <v>24</v>
      </c>
      <c r="D3" s="53">
        <v>43</v>
      </c>
      <c r="E3" s="53">
        <v>50</v>
      </c>
      <c r="F3" s="53">
        <v>57</v>
      </c>
      <c r="G3" s="53">
        <f>F3</f>
        <v>57</v>
      </c>
    </row>
    <row r="4" spans="2:26" x14ac:dyDescent="0.25">
      <c r="B4" s="54" t="s">
        <v>440</v>
      </c>
      <c r="C4" s="37">
        <v>0</v>
      </c>
      <c r="D4" s="37">
        <v>3</v>
      </c>
      <c r="E4" s="37">
        <v>11</v>
      </c>
      <c r="F4" s="37">
        <v>20</v>
      </c>
      <c r="G4" s="64">
        <f>SUM(C4:F4)</f>
        <v>34</v>
      </c>
      <c r="L4" s="40" t="s">
        <v>441</v>
      </c>
      <c r="M4" t="s">
        <v>442</v>
      </c>
      <c r="N4" s="66" t="s">
        <v>443</v>
      </c>
      <c r="P4" s="40" t="s">
        <v>441</v>
      </c>
      <c r="Q4" t="s">
        <v>442</v>
      </c>
      <c r="R4" s="66" t="s">
        <v>444</v>
      </c>
      <c r="T4" s="40" t="s">
        <v>441</v>
      </c>
      <c r="U4" t="s">
        <v>442</v>
      </c>
      <c r="V4" s="66" t="s">
        <v>445</v>
      </c>
      <c r="X4" s="40" t="s">
        <v>441</v>
      </c>
      <c r="Y4" t="s">
        <v>442</v>
      </c>
      <c r="Z4" s="66" t="s">
        <v>446</v>
      </c>
    </row>
    <row r="5" spans="2:26" x14ac:dyDescent="0.25">
      <c r="B5" s="57" t="s">
        <v>447</v>
      </c>
      <c r="C5" s="57">
        <f>C3+C4</f>
        <v>24</v>
      </c>
      <c r="D5" s="57">
        <f>D3+D4</f>
        <v>46</v>
      </c>
      <c r="E5" s="57">
        <f>E3+E4</f>
        <v>61</v>
      </c>
      <c r="F5" s="57">
        <f>F3+F4</f>
        <v>77</v>
      </c>
      <c r="G5" s="57">
        <f>G3+G4</f>
        <v>91</v>
      </c>
      <c r="L5" s="41" t="s">
        <v>136</v>
      </c>
      <c r="M5">
        <v>1</v>
      </c>
      <c r="N5" s="12">
        <f>IF(ISNA(VLOOKUP(L5,T:T,1,FALSE)),1,0.5)</f>
        <v>1</v>
      </c>
      <c r="O5" s="40"/>
      <c r="P5" s="41" t="s">
        <v>136</v>
      </c>
      <c r="Q5">
        <v>1</v>
      </c>
      <c r="R5" s="12">
        <f>IF(ISNA(VLOOKUP(P5,X:X,1,FALSE)),1,0.5)</f>
        <v>1</v>
      </c>
      <c r="T5" s="41" t="s">
        <v>448</v>
      </c>
      <c r="U5">
        <v>1</v>
      </c>
      <c r="V5" s="12">
        <f>IF(ISNA(VLOOKUP(T5,L:L,1,FALSE)),1,0.5)</f>
        <v>1</v>
      </c>
      <c r="X5" s="41" t="s">
        <v>449</v>
      </c>
      <c r="Y5">
        <v>1</v>
      </c>
      <c r="Z5" s="12">
        <f>IF(ISNA(VLOOKUP(X5,P:P,1,FALSE)),1,0.5)</f>
        <v>1</v>
      </c>
    </row>
    <row r="6" spans="2:26" x14ac:dyDescent="0.25">
      <c r="L6" s="41" t="s">
        <v>450</v>
      </c>
      <c r="M6">
        <v>1</v>
      </c>
      <c r="N6" s="12">
        <f t="shared" ref="N6:N16" si="0">IF(ISNA(VLOOKUP(L6,T:T,1,FALSE)),1,0.5)</f>
        <v>0.5</v>
      </c>
      <c r="P6" s="41" t="s">
        <v>450</v>
      </c>
      <c r="Q6">
        <v>1</v>
      </c>
      <c r="R6" s="12">
        <f t="shared" ref="R6:R14" si="1">IF(ISNA(VLOOKUP(P6,X:X,1,FALSE)),1,0.5)</f>
        <v>0.5</v>
      </c>
      <c r="T6" s="41" t="s">
        <v>451</v>
      </c>
      <c r="U6">
        <v>1</v>
      </c>
      <c r="V6" s="12">
        <f t="shared" ref="V6:V42" si="2">IF(ISNA(VLOOKUP(T6,L:L,1,FALSE)),1,0.5)</f>
        <v>1</v>
      </c>
      <c r="X6" s="41" t="s">
        <v>452</v>
      </c>
      <c r="Y6">
        <v>1</v>
      </c>
      <c r="Z6" s="12">
        <f t="shared" ref="Z6:Z25" si="3">IF(ISNA(VLOOKUP(X6,P:P,1,FALSE)),1,0.5)</f>
        <v>1</v>
      </c>
    </row>
    <row r="7" spans="2:26" x14ac:dyDescent="0.25">
      <c r="B7" s="67" t="s">
        <v>453</v>
      </c>
      <c r="C7" s="68" t="s">
        <v>437</v>
      </c>
      <c r="L7" s="41" t="s">
        <v>454</v>
      </c>
      <c r="M7">
        <v>3</v>
      </c>
      <c r="N7" s="12">
        <f t="shared" si="0"/>
        <v>1</v>
      </c>
      <c r="P7" s="41" t="s">
        <v>454</v>
      </c>
      <c r="Q7">
        <v>1</v>
      </c>
      <c r="R7" s="12">
        <f t="shared" si="1"/>
        <v>1</v>
      </c>
      <c r="T7" s="41" t="s">
        <v>449</v>
      </c>
      <c r="U7">
        <v>1</v>
      </c>
      <c r="V7" s="12">
        <f t="shared" si="2"/>
        <v>1</v>
      </c>
      <c r="X7" s="41" t="s">
        <v>455</v>
      </c>
      <c r="Y7">
        <v>1</v>
      </c>
      <c r="Z7" s="12">
        <f t="shared" si="3"/>
        <v>1</v>
      </c>
    </row>
    <row r="8" spans="2:26" x14ac:dyDescent="0.25">
      <c r="B8" s="55" t="s">
        <v>439</v>
      </c>
      <c r="C8" s="65">
        <f>G3</f>
        <v>57</v>
      </c>
      <c r="L8" s="41" t="s">
        <v>193</v>
      </c>
      <c r="M8">
        <v>1</v>
      </c>
      <c r="N8" s="12">
        <f t="shared" si="0"/>
        <v>0.5</v>
      </c>
      <c r="P8" s="41" t="s">
        <v>193</v>
      </c>
      <c r="Q8">
        <v>1</v>
      </c>
      <c r="R8" s="12">
        <f t="shared" si="1"/>
        <v>1</v>
      </c>
      <c r="T8" s="41" t="s">
        <v>456</v>
      </c>
      <c r="U8">
        <v>3</v>
      </c>
      <c r="V8" s="12">
        <f t="shared" si="2"/>
        <v>1</v>
      </c>
      <c r="X8" s="41" t="s">
        <v>186</v>
      </c>
      <c r="Y8">
        <v>1</v>
      </c>
      <c r="Z8" s="12">
        <f t="shared" si="3"/>
        <v>1</v>
      </c>
    </row>
    <row r="9" spans="2:26" x14ac:dyDescent="0.25">
      <c r="B9" s="54" t="s">
        <v>440</v>
      </c>
      <c r="C9" s="64">
        <f>G4</f>
        <v>34</v>
      </c>
      <c r="L9" s="41" t="s">
        <v>243</v>
      </c>
      <c r="M9">
        <v>1</v>
      </c>
      <c r="N9" s="12">
        <f t="shared" si="0"/>
        <v>1</v>
      </c>
      <c r="P9" s="41" t="s">
        <v>243</v>
      </c>
      <c r="Q9">
        <v>1</v>
      </c>
      <c r="R9" s="12">
        <f t="shared" si="1"/>
        <v>1</v>
      </c>
      <c r="T9" s="41" t="s">
        <v>108</v>
      </c>
      <c r="U9">
        <v>1</v>
      </c>
      <c r="V9" s="12">
        <f t="shared" si="2"/>
        <v>1</v>
      </c>
      <c r="X9" s="41" t="s">
        <v>457</v>
      </c>
      <c r="Y9">
        <v>2</v>
      </c>
      <c r="Z9" s="12">
        <f t="shared" si="3"/>
        <v>1</v>
      </c>
    </row>
    <row r="10" spans="2:26" x14ac:dyDescent="0.25">
      <c r="B10" s="55" t="s">
        <v>447</v>
      </c>
      <c r="C10" s="65">
        <f>G5</f>
        <v>91</v>
      </c>
      <c r="L10" s="41" t="s">
        <v>458</v>
      </c>
      <c r="M10">
        <v>1</v>
      </c>
      <c r="N10" s="12">
        <f t="shared" si="0"/>
        <v>0.5</v>
      </c>
      <c r="P10" s="41" t="s">
        <v>459</v>
      </c>
      <c r="Q10">
        <v>1</v>
      </c>
      <c r="R10" s="12">
        <f t="shared" si="1"/>
        <v>0.5</v>
      </c>
      <c r="T10" s="41" t="s">
        <v>452</v>
      </c>
      <c r="U10">
        <v>1</v>
      </c>
      <c r="V10" s="12">
        <f t="shared" si="2"/>
        <v>1</v>
      </c>
      <c r="X10" s="41" t="s">
        <v>460</v>
      </c>
      <c r="Y10">
        <v>1</v>
      </c>
      <c r="Z10" s="12">
        <f t="shared" si="3"/>
        <v>1</v>
      </c>
    </row>
    <row r="11" spans="2:26" x14ac:dyDescent="0.25">
      <c r="B11" s="54" t="s">
        <v>461</v>
      </c>
      <c r="C11" s="54">
        <f>COUNT(U7:U102)</f>
        <v>36</v>
      </c>
      <c r="L11" s="41" t="s">
        <v>459</v>
      </c>
      <c r="M11">
        <v>1</v>
      </c>
      <c r="N11" s="12">
        <f t="shared" si="0"/>
        <v>0.5</v>
      </c>
      <c r="P11" s="41" t="s">
        <v>228</v>
      </c>
      <c r="Q11">
        <v>1</v>
      </c>
      <c r="R11" s="12">
        <f t="shared" si="1"/>
        <v>1</v>
      </c>
      <c r="T11" s="41" t="s">
        <v>462</v>
      </c>
      <c r="U11">
        <v>4</v>
      </c>
      <c r="V11" s="12">
        <f t="shared" si="2"/>
        <v>1</v>
      </c>
      <c r="X11" s="41" t="s">
        <v>450</v>
      </c>
      <c r="Y11">
        <v>1</v>
      </c>
      <c r="Z11" s="12">
        <f t="shared" si="3"/>
        <v>0.5</v>
      </c>
    </row>
    <row r="12" spans="2:26" x14ac:dyDescent="0.25">
      <c r="B12" s="55" t="s">
        <v>463</v>
      </c>
      <c r="C12" s="55">
        <f>COUNT(Y5:Y100)</f>
        <v>21</v>
      </c>
      <c r="L12" s="41" t="s">
        <v>228</v>
      </c>
      <c r="M12">
        <v>1</v>
      </c>
      <c r="N12" s="12">
        <f t="shared" si="0"/>
        <v>1</v>
      </c>
      <c r="P12" s="41" t="s">
        <v>464</v>
      </c>
      <c r="Q12">
        <v>2</v>
      </c>
      <c r="R12" s="12">
        <f t="shared" si="1"/>
        <v>0.5</v>
      </c>
      <c r="T12" s="41" t="s">
        <v>465</v>
      </c>
      <c r="U12">
        <v>2</v>
      </c>
      <c r="V12" s="12">
        <f t="shared" si="2"/>
        <v>1</v>
      </c>
      <c r="X12" s="41" t="s">
        <v>117</v>
      </c>
      <c r="Y12">
        <v>1</v>
      </c>
      <c r="Z12" s="12">
        <f t="shared" si="3"/>
        <v>1</v>
      </c>
    </row>
    <row r="13" spans="2:26" x14ac:dyDescent="0.25">
      <c r="B13" s="54" t="s">
        <v>466</v>
      </c>
      <c r="C13" s="39">
        <f>COUNT(M5:M100)</f>
        <v>12</v>
      </c>
      <c r="L13" s="41" t="s">
        <v>464</v>
      </c>
      <c r="M13">
        <v>2</v>
      </c>
      <c r="N13" s="12">
        <f t="shared" si="0"/>
        <v>0.5</v>
      </c>
      <c r="P13" s="41" t="s">
        <v>91</v>
      </c>
      <c r="Q13">
        <v>2</v>
      </c>
      <c r="R13" s="12">
        <f t="shared" si="1"/>
        <v>0.5</v>
      </c>
      <c r="T13" s="41" t="s">
        <v>467</v>
      </c>
      <c r="U13">
        <v>1</v>
      </c>
      <c r="V13" s="12">
        <f t="shared" si="2"/>
        <v>1</v>
      </c>
      <c r="X13" s="41" t="s">
        <v>68</v>
      </c>
      <c r="Y13">
        <v>1</v>
      </c>
      <c r="Z13" s="12">
        <f t="shared" si="3"/>
        <v>1</v>
      </c>
    </row>
    <row r="14" spans="2:26" x14ac:dyDescent="0.25">
      <c r="B14" s="55" t="s">
        <v>468</v>
      </c>
      <c r="C14" s="38">
        <f>COUNT(Q5:Q100)</f>
        <v>10</v>
      </c>
      <c r="L14" s="41" t="s">
        <v>91</v>
      </c>
      <c r="M14">
        <v>3</v>
      </c>
      <c r="N14" s="12">
        <f t="shared" si="0"/>
        <v>0.5</v>
      </c>
      <c r="P14" s="41" t="s">
        <v>225</v>
      </c>
      <c r="Q14">
        <v>1</v>
      </c>
      <c r="R14" s="12">
        <f t="shared" si="1"/>
        <v>1</v>
      </c>
      <c r="T14" s="41" t="s">
        <v>455</v>
      </c>
      <c r="U14">
        <v>1</v>
      </c>
      <c r="V14" s="12">
        <f t="shared" si="2"/>
        <v>1</v>
      </c>
      <c r="X14" s="41" t="s">
        <v>469</v>
      </c>
      <c r="Y14">
        <v>3</v>
      </c>
      <c r="Z14" s="12">
        <f t="shared" si="3"/>
        <v>1</v>
      </c>
    </row>
    <row r="15" spans="2:26" x14ac:dyDescent="0.25">
      <c r="B15" s="54" t="s">
        <v>470</v>
      </c>
      <c r="C15" s="64">
        <f>SUM(N5:N100)+SUM(V5:V100)</f>
        <v>42</v>
      </c>
      <c r="L15" s="41" t="s">
        <v>471</v>
      </c>
      <c r="M15">
        <v>1</v>
      </c>
      <c r="N15" s="12">
        <f t="shared" si="0"/>
        <v>0.5</v>
      </c>
      <c r="T15" s="41" t="s">
        <v>472</v>
      </c>
      <c r="U15">
        <v>1</v>
      </c>
      <c r="V15" s="12">
        <f t="shared" si="2"/>
        <v>1</v>
      </c>
      <c r="X15" s="41" t="s">
        <v>473</v>
      </c>
      <c r="Y15">
        <v>1</v>
      </c>
      <c r="Z15" s="12">
        <f t="shared" si="3"/>
        <v>1</v>
      </c>
    </row>
    <row r="16" spans="2:26" x14ac:dyDescent="0.25">
      <c r="B16" s="55" t="s">
        <v>474</v>
      </c>
      <c r="C16" s="65">
        <f>SUM(R5:R100)+SUM(Z5:Z100)</f>
        <v>27</v>
      </c>
      <c r="L16" s="41" t="s">
        <v>225</v>
      </c>
      <c r="M16">
        <v>1</v>
      </c>
      <c r="N16" s="12">
        <f t="shared" si="0"/>
        <v>0.5</v>
      </c>
      <c r="T16" s="41" t="s">
        <v>186</v>
      </c>
      <c r="U16">
        <v>1</v>
      </c>
      <c r="V16" s="12">
        <f t="shared" si="2"/>
        <v>1</v>
      </c>
      <c r="X16" s="41" t="s">
        <v>475</v>
      </c>
      <c r="Y16">
        <v>1</v>
      </c>
      <c r="Z16" s="12">
        <f t="shared" si="3"/>
        <v>1</v>
      </c>
    </row>
    <row r="17" spans="2:26" x14ac:dyDescent="0.25">
      <c r="B17" s="54" t="s">
        <v>476</v>
      </c>
      <c r="C17" s="56">
        <f>C15/C$10</f>
        <v>0.46153846153846156</v>
      </c>
      <c r="T17" s="41" t="s">
        <v>477</v>
      </c>
      <c r="U17">
        <v>2</v>
      </c>
      <c r="V17" s="12">
        <f t="shared" si="2"/>
        <v>1</v>
      </c>
      <c r="X17" s="41" t="s">
        <v>478</v>
      </c>
      <c r="Y17">
        <v>1</v>
      </c>
      <c r="Z17" s="12">
        <f t="shared" si="3"/>
        <v>1</v>
      </c>
    </row>
    <row r="18" spans="2:26" x14ac:dyDescent="0.25">
      <c r="B18" s="57" t="s">
        <v>479</v>
      </c>
      <c r="C18" s="58">
        <f>C16/C$10</f>
        <v>0.2967032967032967</v>
      </c>
      <c r="T18" s="41" t="s">
        <v>457</v>
      </c>
      <c r="U18">
        <v>5</v>
      </c>
      <c r="V18" s="12">
        <f t="shared" si="2"/>
        <v>1</v>
      </c>
      <c r="X18" s="41" t="s">
        <v>480</v>
      </c>
      <c r="Y18">
        <v>1</v>
      </c>
      <c r="Z18" s="12">
        <f t="shared" si="3"/>
        <v>1</v>
      </c>
    </row>
    <row r="19" spans="2:26" x14ac:dyDescent="0.25">
      <c r="T19" s="41" t="s">
        <v>481</v>
      </c>
      <c r="U19">
        <v>2</v>
      </c>
      <c r="V19" s="12">
        <f t="shared" si="2"/>
        <v>1</v>
      </c>
      <c r="X19" s="41" t="s">
        <v>459</v>
      </c>
      <c r="Y19">
        <v>3</v>
      </c>
      <c r="Z19" s="12">
        <f t="shared" si="3"/>
        <v>0.5</v>
      </c>
    </row>
    <row r="20" spans="2:26" x14ac:dyDescent="0.25">
      <c r="B20" s="43"/>
      <c r="C20" s="43" t="s">
        <v>482</v>
      </c>
      <c r="D20" s="43" t="s">
        <v>483</v>
      </c>
      <c r="E20" s="43" t="s">
        <v>484</v>
      </c>
      <c r="F20" s="43" t="s">
        <v>485</v>
      </c>
      <c r="T20" s="41" t="s">
        <v>460</v>
      </c>
      <c r="U20">
        <v>4</v>
      </c>
      <c r="V20" s="12">
        <f t="shared" si="2"/>
        <v>1</v>
      </c>
      <c r="X20" s="41" t="s">
        <v>486</v>
      </c>
      <c r="Y20">
        <v>1</v>
      </c>
      <c r="Z20" s="12">
        <f t="shared" si="3"/>
        <v>1</v>
      </c>
    </row>
    <row r="21" spans="2:26" x14ac:dyDescent="0.25">
      <c r="B21" s="44" t="s">
        <v>487</v>
      </c>
      <c r="C21" s="62">
        <v>0.46</v>
      </c>
      <c r="D21" s="62">
        <v>0.35</v>
      </c>
      <c r="E21" s="62">
        <v>0.61</v>
      </c>
      <c r="F21" s="62">
        <v>0.7</v>
      </c>
      <c r="T21" s="41" t="s">
        <v>450</v>
      </c>
      <c r="U21">
        <v>3</v>
      </c>
      <c r="V21" s="12">
        <f t="shared" si="2"/>
        <v>0.5</v>
      </c>
      <c r="X21" s="41" t="s">
        <v>464</v>
      </c>
      <c r="Y21">
        <v>5</v>
      </c>
      <c r="Z21" s="12">
        <f t="shared" si="3"/>
        <v>0.5</v>
      </c>
    </row>
    <row r="22" spans="2:26" x14ac:dyDescent="0.25">
      <c r="B22" s="50" t="s">
        <v>488</v>
      </c>
      <c r="C22" s="63">
        <v>0.37</v>
      </c>
      <c r="D22" s="63">
        <v>0.28999999999999998</v>
      </c>
      <c r="E22" s="63">
        <v>0.55000000000000004</v>
      </c>
      <c r="F22" s="63">
        <v>0.65</v>
      </c>
      <c r="T22" s="41" t="s">
        <v>489</v>
      </c>
      <c r="U22">
        <v>1</v>
      </c>
      <c r="V22" s="12">
        <f t="shared" si="2"/>
        <v>1</v>
      </c>
      <c r="X22" s="41" t="s">
        <v>91</v>
      </c>
      <c r="Y22">
        <v>1</v>
      </c>
      <c r="Z22" s="12">
        <f t="shared" si="3"/>
        <v>0.5</v>
      </c>
    </row>
    <row r="23" spans="2:26" x14ac:dyDescent="0.25">
      <c r="T23" s="41" t="s">
        <v>117</v>
      </c>
      <c r="U23">
        <v>6</v>
      </c>
      <c r="V23" s="12">
        <f t="shared" si="2"/>
        <v>1</v>
      </c>
      <c r="X23" s="41" t="s">
        <v>159</v>
      </c>
      <c r="Y23">
        <v>1</v>
      </c>
      <c r="Z23" s="12">
        <f t="shared" si="3"/>
        <v>1</v>
      </c>
    </row>
    <row r="24" spans="2:26" x14ac:dyDescent="0.25">
      <c r="B24" s="43" t="s">
        <v>490</v>
      </c>
      <c r="C24" s="59" t="s">
        <v>302</v>
      </c>
      <c r="D24" s="59" t="s">
        <v>276</v>
      </c>
      <c r="E24" s="59" t="s">
        <v>299</v>
      </c>
      <c r="F24" s="59" t="s">
        <v>280</v>
      </c>
      <c r="G24" s="59" t="s">
        <v>278</v>
      </c>
      <c r="H24" s="59" t="s">
        <v>288</v>
      </c>
      <c r="I24" s="59" t="s">
        <v>283</v>
      </c>
      <c r="J24" s="59" t="s">
        <v>281</v>
      </c>
      <c r="T24" s="41" t="s">
        <v>68</v>
      </c>
      <c r="U24">
        <v>1</v>
      </c>
      <c r="V24" s="12">
        <f t="shared" si="2"/>
        <v>1</v>
      </c>
      <c r="X24" s="41" t="s">
        <v>491</v>
      </c>
      <c r="Y24">
        <v>1</v>
      </c>
      <c r="Z24" s="12">
        <f t="shared" si="3"/>
        <v>1</v>
      </c>
    </row>
    <row r="25" spans="2:26" x14ac:dyDescent="0.25">
      <c r="B25" s="53" t="s">
        <v>492</v>
      </c>
      <c r="C25" s="78">
        <f>COUNTIFS(Conferencias!$F:$F,C24)</f>
        <v>3</v>
      </c>
      <c r="D25" s="78">
        <f>COUNTIFS(Conferencias!$F:$F,D24)</f>
        <v>2</v>
      </c>
      <c r="E25" s="78">
        <f>COUNTIFS(Conferencias!$F:$F,E24)</f>
        <v>3</v>
      </c>
      <c r="F25" s="78">
        <f>COUNTIFS(Conferencias!$F:$F,F24)</f>
        <v>14</v>
      </c>
      <c r="G25" s="78">
        <f>COUNTIFS(Conferencias!$F:$F,G24)</f>
        <v>4</v>
      </c>
      <c r="H25" s="78">
        <f>COUNTIFS(Conferencias!$F:$F,H24)</f>
        <v>3</v>
      </c>
      <c r="I25" s="78">
        <f>COUNTIFS(Conferencias!$F:$F,I24)</f>
        <v>6</v>
      </c>
      <c r="J25" s="78">
        <f>COUNTIFS(Conferencias!$F:$F,J24)</f>
        <v>6</v>
      </c>
      <c r="T25" s="41" t="s">
        <v>469</v>
      </c>
      <c r="U25">
        <v>5</v>
      </c>
      <c r="V25" s="12">
        <f t="shared" si="2"/>
        <v>1</v>
      </c>
      <c r="X25" s="41" t="s">
        <v>493</v>
      </c>
      <c r="Y25">
        <v>1</v>
      </c>
      <c r="Z25" s="12">
        <f t="shared" si="3"/>
        <v>1</v>
      </c>
    </row>
    <row r="26" spans="2:26" x14ac:dyDescent="0.25">
      <c r="B26" s="60" t="s">
        <v>37</v>
      </c>
      <c r="C26" s="79">
        <f>COUNTIFS(Periodicos!$F:$F,C24)</f>
        <v>9</v>
      </c>
      <c r="D26" s="79">
        <f>COUNTIFS(Periodicos!$F:$F,D24)</f>
        <v>12</v>
      </c>
      <c r="E26" s="79">
        <f>COUNTIFS(Periodicos!$F:$F,E24)</f>
        <v>5</v>
      </c>
      <c r="F26" s="79">
        <f>COUNTIFS(Periodicos!$F:$F,F24)</f>
        <v>2</v>
      </c>
      <c r="G26" s="79">
        <f>COUNTIFS(Periodicos!$F:$F,G24)</f>
        <v>8</v>
      </c>
      <c r="H26" s="79">
        <f>COUNTIFS(Periodicos!$F:$F,H24)</f>
        <v>4</v>
      </c>
      <c r="I26" s="79">
        <f>COUNTIFS(Periodicos!$F:$F,I24)</f>
        <v>0</v>
      </c>
      <c r="J26" s="79">
        <f>COUNTIFS(Periodicos!$F:$F,J24)</f>
        <v>0</v>
      </c>
      <c r="T26" s="41" t="s">
        <v>193</v>
      </c>
      <c r="U26">
        <v>1</v>
      </c>
      <c r="V26" s="12">
        <f t="shared" si="2"/>
        <v>0.5</v>
      </c>
    </row>
    <row r="27" spans="2:26" x14ac:dyDescent="0.25">
      <c r="B27" s="46" t="s">
        <v>63</v>
      </c>
      <c r="C27" s="80">
        <f>Geral!S2</f>
        <v>6.5</v>
      </c>
      <c r="D27" s="81"/>
      <c r="E27" s="81"/>
      <c r="F27" s="81"/>
      <c r="G27" s="81"/>
      <c r="H27" s="81"/>
      <c r="I27" s="81"/>
      <c r="J27" s="81"/>
      <c r="T27" s="41" t="s">
        <v>473</v>
      </c>
      <c r="U27">
        <v>2</v>
      </c>
      <c r="V27" s="12">
        <f t="shared" si="2"/>
        <v>1</v>
      </c>
    </row>
    <row r="28" spans="2:26" x14ac:dyDescent="0.25">
      <c r="T28" s="41" t="s">
        <v>475</v>
      </c>
      <c r="U28">
        <v>1</v>
      </c>
      <c r="V28" s="12">
        <f t="shared" si="2"/>
        <v>1</v>
      </c>
    </row>
    <row r="29" spans="2:26" x14ac:dyDescent="0.25">
      <c r="B29" s="43"/>
      <c r="C29" s="43" t="s">
        <v>494</v>
      </c>
      <c r="D29" s="43" t="s">
        <v>495</v>
      </c>
      <c r="T29" s="41" t="s">
        <v>478</v>
      </c>
      <c r="U29">
        <v>1</v>
      </c>
      <c r="V29" s="12">
        <f t="shared" si="2"/>
        <v>1</v>
      </c>
    </row>
    <row r="30" spans="2:26" x14ac:dyDescent="0.25">
      <c r="B30" s="44" t="s">
        <v>496</v>
      </c>
      <c r="C30" s="45">
        <f>(C26*1+D26*0.85+E26*0.7+(F26+G26)*0.5+H26*0.2+I26*0.1+J26*0.05)/C$27</f>
        <v>4.384615384615385</v>
      </c>
      <c r="D30" s="45">
        <f>(C26*1+D26*0.875+E26*0.75+F26*0.625+G26*0.5+H26*0.2+I26*0.1+J26*0.05)/C$27</f>
        <v>4.5076923076923077</v>
      </c>
      <c r="T30" s="41" t="s">
        <v>458</v>
      </c>
      <c r="U30">
        <v>4</v>
      </c>
      <c r="V30" s="12">
        <f t="shared" si="2"/>
        <v>0.5</v>
      </c>
    </row>
    <row r="31" spans="2:26" x14ac:dyDescent="0.25">
      <c r="B31" s="46" t="s">
        <v>497</v>
      </c>
      <c r="C31" s="47">
        <f>(C26*1+D26*0.85+E26*0.7)/C$27</f>
        <v>3.4923076923076923</v>
      </c>
      <c r="D31" s="47">
        <f>(C26*1+D26*0.875+E26*0.75+F26*0.625)/C$27</f>
        <v>3.7692307692307692</v>
      </c>
      <c r="T31" s="41" t="s">
        <v>480</v>
      </c>
      <c r="U31">
        <v>1</v>
      </c>
      <c r="V31" s="12">
        <f t="shared" si="2"/>
        <v>1</v>
      </c>
    </row>
    <row r="32" spans="2:26" x14ac:dyDescent="0.25">
      <c r="B32" s="48" t="s">
        <v>498</v>
      </c>
      <c r="C32" s="49">
        <f>(C25*1+D25*0.85+E25*0.7+(F25+G25)*0.5+H25*0.2+I25*0.1+J25*0.05)/C$27</f>
        <v>2.6615384615384623</v>
      </c>
      <c r="D32" s="49">
        <f>(C25*1+D25*0.875+E25*0.75+F25*0.625+G25*0.5+H25*0.2+I25*0.1+J25*0.05)/C$27</f>
        <v>2.9615384615384621</v>
      </c>
      <c r="T32" s="41" t="s">
        <v>459</v>
      </c>
      <c r="U32">
        <v>9</v>
      </c>
      <c r="V32" s="12">
        <f t="shared" si="2"/>
        <v>0.5</v>
      </c>
    </row>
    <row r="33" spans="2:22" x14ac:dyDescent="0.25">
      <c r="B33" s="46" t="s">
        <v>499</v>
      </c>
      <c r="C33" s="47">
        <f>(C25*1+D25*0.85+E25*0.7)/C$27</f>
        <v>1.0461538461538462</v>
      </c>
      <c r="D33" s="47">
        <f>(C25*1+D25*0.875+E25*0.75+F25*0.625)/C$27</f>
        <v>2.4230769230769229</v>
      </c>
      <c r="T33" s="41" t="s">
        <v>486</v>
      </c>
      <c r="U33">
        <v>1</v>
      </c>
      <c r="V33" s="12">
        <f t="shared" si="2"/>
        <v>1</v>
      </c>
    </row>
    <row r="34" spans="2:22" x14ac:dyDescent="0.25">
      <c r="B34" s="48" t="s">
        <v>500</v>
      </c>
      <c r="C34" s="49">
        <f>C30+C32</f>
        <v>7.0461538461538478</v>
      </c>
      <c r="D34" s="49">
        <f>D30+D32</f>
        <v>7.4692307692307693</v>
      </c>
      <c r="T34" s="41" t="s">
        <v>501</v>
      </c>
      <c r="U34">
        <v>1</v>
      </c>
      <c r="V34" s="12">
        <f t="shared" si="2"/>
        <v>1</v>
      </c>
    </row>
    <row r="35" spans="2:22" x14ac:dyDescent="0.25">
      <c r="B35" s="50" t="s">
        <v>502</v>
      </c>
      <c r="C35" s="51">
        <f>C31+C33</f>
        <v>4.5384615384615383</v>
      </c>
      <c r="D35" s="51">
        <f>D31+D33</f>
        <v>6.1923076923076916</v>
      </c>
      <c r="T35" s="41" t="s">
        <v>464</v>
      </c>
      <c r="U35">
        <v>6</v>
      </c>
      <c r="V35" s="12">
        <f t="shared" si="2"/>
        <v>0.5</v>
      </c>
    </row>
    <row r="36" spans="2:22" x14ac:dyDescent="0.25">
      <c r="T36" s="41" t="s">
        <v>91</v>
      </c>
      <c r="U36">
        <v>3</v>
      </c>
      <c r="V36" s="12">
        <f t="shared" si="2"/>
        <v>0.5</v>
      </c>
    </row>
    <row r="37" spans="2:22" x14ac:dyDescent="0.25">
      <c r="B37" s="43"/>
      <c r="C37" s="43" t="s">
        <v>482</v>
      </c>
      <c r="D37" s="43" t="s">
        <v>483</v>
      </c>
      <c r="E37" s="43" t="s">
        <v>484</v>
      </c>
      <c r="F37" s="43" t="s">
        <v>485</v>
      </c>
      <c r="T37" s="41" t="s">
        <v>159</v>
      </c>
      <c r="U37">
        <v>1</v>
      </c>
      <c r="V37" s="12">
        <f t="shared" si="2"/>
        <v>1</v>
      </c>
    </row>
    <row r="38" spans="2:22" x14ac:dyDescent="0.25">
      <c r="B38" s="44" t="s">
        <v>500</v>
      </c>
      <c r="C38" s="45">
        <f>C34</f>
        <v>7.0461538461538478</v>
      </c>
      <c r="D38" s="45">
        <v>4</v>
      </c>
      <c r="E38" s="45">
        <v>6</v>
      </c>
      <c r="F38" s="45">
        <v>7.4</v>
      </c>
      <c r="T38" s="41" t="s">
        <v>471</v>
      </c>
      <c r="U38">
        <v>1</v>
      </c>
      <c r="V38" s="12">
        <f t="shared" si="2"/>
        <v>0.5</v>
      </c>
    </row>
    <row r="39" spans="2:22" x14ac:dyDescent="0.25">
      <c r="B39" s="50" t="s">
        <v>502</v>
      </c>
      <c r="C39" s="51">
        <f>C35</f>
        <v>4.5384615384615383</v>
      </c>
      <c r="D39" s="51">
        <v>2.8</v>
      </c>
      <c r="E39" s="51">
        <v>4.2</v>
      </c>
      <c r="F39" s="51">
        <v>6</v>
      </c>
      <c r="T39" s="41" t="s">
        <v>88</v>
      </c>
      <c r="U39">
        <v>2</v>
      </c>
      <c r="V39" s="12">
        <f t="shared" si="2"/>
        <v>1</v>
      </c>
    </row>
    <row r="40" spans="2:22" x14ac:dyDescent="0.25">
      <c r="T40" s="41" t="s">
        <v>491</v>
      </c>
      <c r="U40">
        <v>1</v>
      </c>
      <c r="V40" s="12">
        <f t="shared" si="2"/>
        <v>1</v>
      </c>
    </row>
    <row r="41" spans="2:22" x14ac:dyDescent="0.25">
      <c r="T41" s="41" t="s">
        <v>493</v>
      </c>
      <c r="U41">
        <v>1</v>
      </c>
      <c r="V41" s="12">
        <f t="shared" si="2"/>
        <v>1</v>
      </c>
    </row>
    <row r="42" spans="2:22" x14ac:dyDescent="0.25">
      <c r="B42" s="43"/>
      <c r="C42" s="69" t="s">
        <v>503</v>
      </c>
      <c r="D42" s="69" t="s">
        <v>21</v>
      </c>
      <c r="E42" s="43" t="s">
        <v>504</v>
      </c>
      <c r="T42" s="41" t="s">
        <v>225</v>
      </c>
      <c r="U42">
        <v>1</v>
      </c>
      <c r="V42" s="12">
        <f t="shared" si="2"/>
        <v>0.5</v>
      </c>
    </row>
    <row r="43" spans="2:22" x14ac:dyDescent="0.25">
      <c r="B43" s="44" t="s">
        <v>500</v>
      </c>
      <c r="C43" s="70">
        <f>COUNTIFS(Periodicos!$G:$G,1)</f>
        <v>25</v>
      </c>
      <c r="D43" s="70">
        <f>COUNT(Periodicos!$G:$G)</f>
        <v>43</v>
      </c>
      <c r="E43" s="62">
        <f>1-C43/D43</f>
        <v>0.41860465116279066</v>
      </c>
    </row>
    <row r="44" spans="2:22" x14ac:dyDescent="0.25">
      <c r="B44" s="50" t="s">
        <v>502</v>
      </c>
      <c r="C44" s="61">
        <f>COUNTIFS(Periodicos!$G:$G,1,Periodicos!$H:$H,1)</f>
        <v>20</v>
      </c>
      <c r="D44" s="61">
        <f>COUNTIFS(Periodicos!$H:$H,1)</f>
        <v>29</v>
      </c>
      <c r="E44" s="63">
        <f>1-C44/D44</f>
        <v>0.31034482758620685</v>
      </c>
    </row>
  </sheetData>
  <sortState xmlns:xlrd2="http://schemas.microsoft.com/office/spreadsheetml/2017/richdata2" ref="A1:A26">
    <sortCondition ref="A1:A26"/>
  </sortState>
  <phoneticPr fontId="8" type="noConversion"/>
  <pageMargins left="0.7" right="0.7" top="0.75" bottom="0.75" header="0.3" footer="0.3"/>
  <pageSetup paperSize="9"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70F2F856DFA4DB65445699C69C5BF" ma:contentTypeVersion="4" ma:contentTypeDescription="Crie um novo documento." ma:contentTypeScope="" ma:versionID="b6728b0df25109f54245a2c4324bc6bb">
  <xsd:schema xmlns:xsd="http://www.w3.org/2001/XMLSchema" xmlns:xs="http://www.w3.org/2001/XMLSchema" xmlns:p="http://schemas.microsoft.com/office/2006/metadata/properties" xmlns:ns2="a18cb972-ba3a-4721-b588-f6f0cfd70470" xmlns:ns3="bf01f819-0ed5-4aa4-9fcf-d4e17a06f1cb" targetNamespace="http://schemas.microsoft.com/office/2006/metadata/properties" ma:root="true" ma:fieldsID="4e939f68d766cad5df0bb3270c3e748e" ns2:_="" ns3:_="">
    <xsd:import namespace="a18cb972-ba3a-4721-b588-f6f0cfd70470"/>
    <xsd:import namespace="bf01f819-0ed5-4aa4-9fcf-d4e17a06f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cb972-ba3a-4721-b588-f6f0cfd7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01f819-0ed5-4aa4-9fcf-d4e17a06f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BF3403-0CA0-412F-B6B5-B35BA19B63AC}"/>
</file>

<file path=customXml/itemProps2.xml><?xml version="1.0" encoding="utf-8"?>
<ds:datastoreItem xmlns:ds="http://schemas.openxmlformats.org/officeDocument/2006/customXml" ds:itemID="{6678E1A0-67D9-4D69-B545-DE3EFACD5F9A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bf01f819-0ed5-4aa4-9fcf-d4e17a06f1cb"/>
    <ds:schemaRef ds:uri="http://schemas.microsoft.com/office/infopath/2007/PartnerControls"/>
    <ds:schemaRef ds:uri="http://schemas.openxmlformats.org/package/2006/metadata/core-properties"/>
    <ds:schemaRef ds:uri="a18cb972-ba3a-4721-b588-f6f0cfd70470"/>
  </ds:schemaRefs>
</ds:datastoreItem>
</file>

<file path=customXml/itemProps3.xml><?xml version="1.0" encoding="utf-8"?>
<ds:datastoreItem xmlns:ds="http://schemas.openxmlformats.org/officeDocument/2006/customXml" ds:itemID="{30FB3EDF-82C7-49C0-B39B-6B0FB65E12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Planejamento</vt:lpstr>
      <vt:lpstr>Geral</vt:lpstr>
      <vt:lpstr>Conferencias</vt:lpstr>
      <vt:lpstr>Periodicos</vt:lpstr>
      <vt:lpstr>Tecnica</vt:lpstr>
      <vt:lpstr>LConferencias</vt:lpstr>
      <vt:lpstr>LPeriodicos</vt:lpstr>
      <vt:lpstr>Tabelas</vt:lpstr>
      <vt:lpstr>Producao</vt:lpstr>
      <vt:lpstr>HIndex</vt:lpstr>
      <vt:lpstr>Discentes</vt:lpstr>
      <vt:lpstr>Docentes</vt:lpstr>
      <vt:lpstr>Geral!Area_de_impressao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Ogasawara</dc:creator>
  <cp:keywords/>
  <dc:description/>
  <cp:lastModifiedBy>Joel dos Santos</cp:lastModifiedBy>
  <cp:revision/>
  <dcterms:created xsi:type="dcterms:W3CDTF">2017-04-03T11:45:22Z</dcterms:created>
  <dcterms:modified xsi:type="dcterms:W3CDTF">2022-10-07T12:53:12Z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0x01010027C70F2F856DFA4DB65445699C69C5BF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</Properties>
</file>