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1.xml" ContentType="application/vnd.openxmlformats-officedocument.spreadsheetml.comments+xml"/>
  <Override PartName="/xl/worksheets/sheet8.xml" ContentType="application/vnd.openxmlformats-officedocument.spreadsheetml.worksheet+xml"/>
  <Override PartName="/xl/comments/comment2.xml" ContentType="application/vnd.openxmlformats-officedocument.spreadsheetml.comments+xml"/>
  <Override PartName="/xl/worksheets/sheet9.xml" ContentType="application/vnd.openxmlformats-officedocument.spreadsheetml.worksheet+xml"/>
  <Override PartName="/xl/comments/comment3.xml" ContentType="application/vnd.openxmlformats-officedocument.spreadsheetml.comments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2" autoFilterDateGrouping="1"/>
  </bookViews>
  <sheets>
    <sheet name="Planejamento" sheetId="1" state="visible" r:id="rId1"/>
    <sheet name="Geral" sheetId="2" state="visible" r:id="rId2"/>
    <sheet name="Conferencias" sheetId="3" state="visible" r:id="rId3"/>
    <sheet name="Periodicos" sheetId="4" state="visible" r:id="rId4"/>
    <sheet name="Tecnica" sheetId="5" state="visible" r:id="rId5"/>
    <sheet name="LConferencias" sheetId="6" state="visible" r:id="rId6"/>
    <sheet name="LPeriodicos" sheetId="7" state="visible" r:id="rId7"/>
    <sheet name="Tabelas" sheetId="8" state="visible" r:id="rId8"/>
    <sheet name="Producao" sheetId="9" state="visible" r:id="rId9"/>
    <sheet name="HIndex" sheetId="10" state="visible" r:id="rId10"/>
    <sheet name="Discentes" sheetId="11" state="visible" r:id="rId11"/>
    <sheet name="Docentes" sheetId="12" state="visible" r:id="rId12"/>
  </sheets>
  <definedNames>
    <definedName name="_xlnm.Print_Area" localSheetId="1">'Geral'!$A$1:$R$32</definedName>
    <definedName name="_xlnm._FilterDatabase" localSheetId="3" hidden="1">'Periodicos'!$A$1:$AE$39</definedName>
    <definedName name="_xlnm._FilterDatabase" localSheetId="4" hidden="1">'Tecnica'!$A$1:$Y$9</definedName>
    <definedName name="_xlnm._FilterDatabase" localSheetId="6" hidden="1">'LPeriodicos'!$A$1:$M$1</definedName>
    <definedName name="_xlnm._FilterDatabase" localSheetId="10" hidden="1">'Discentes'!$A$1:$B$1</definedName>
    <definedName name="_xlnm._FilterDatabase" localSheetId="11" hidden="1">'Docentes'!$A$1:$C$1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3">
    <numFmt numFmtId="164" formatCode="0.0"/>
    <numFmt numFmtId="165" formatCode="0.000"/>
    <numFmt numFmtId="166" formatCode="m/d/yyyy"/>
  </numFmts>
  <fonts count="22">
    <font>
      <name val="Calibri"/>
      <charset val="1"/>
      <family val="2"/>
      <color theme="1"/>
      <sz val="12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theme="1"/>
      <sz val="12"/>
    </font>
    <font>
      <name val="Calibri"/>
      <charset val="1"/>
      <family val="2"/>
      <b val="1"/>
      <color rgb="FFFF0000"/>
      <sz val="12"/>
    </font>
    <font>
      <name val="Calibri"/>
      <family val="2"/>
      <color rgb="FF595959"/>
      <sz val="14"/>
    </font>
    <font>
      <name val="Calibri"/>
      <family val="2"/>
      <color rgb="FF595959"/>
      <sz val="9"/>
    </font>
    <font>
      <name val="Calibri"/>
      <charset val="1"/>
      <family val="2"/>
      <b val="1"/>
      <color theme="4" tint="-0.25"/>
      <sz val="12"/>
    </font>
    <font>
      <name val="Calibri"/>
      <charset val="1"/>
      <family val="2"/>
      <color theme="4" tint="-0.25"/>
      <sz val="12"/>
    </font>
    <font>
      <name val="Calibri"/>
      <charset val="1"/>
      <family val="2"/>
      <b val="1"/>
      <sz val="12"/>
    </font>
    <font>
      <name val="Calibri"/>
      <charset val="1"/>
      <family val="2"/>
      <sz val="12"/>
    </font>
    <font>
      <name val="Cambria"/>
      <charset val="1"/>
      <family val="0"/>
      <color rgb="FFFF0000"/>
      <sz val="11"/>
    </font>
    <font>
      <name val="Arial"/>
      <family val="2"/>
      <sz val="10"/>
    </font>
    <font>
      <name val="Calibri"/>
      <charset val="1"/>
      <family val="2"/>
      <color theme="1"/>
      <sz val="11"/>
    </font>
    <font>
      <name val="Calibri"/>
      <charset val="1"/>
      <family val="2"/>
      <b val="1"/>
      <color theme="4" tint="-0.25"/>
      <sz val="11"/>
    </font>
    <font>
      <name val="Calibri"/>
      <charset val="1"/>
      <family val="2"/>
      <color theme="4" tint="-0.25"/>
      <sz val="11"/>
    </font>
    <font>
      <name val="Calibri"/>
      <charset val="1"/>
      <family val="2"/>
      <color rgb="FFFF0000"/>
      <sz val="12"/>
    </font>
    <font>
      <name val="Calibri"/>
      <charset val="1"/>
      <family val="2"/>
      <color theme="10"/>
      <sz val="12"/>
    </font>
    <font>
      <name val="Calibri"/>
      <charset val="1"/>
      <family val="2"/>
      <color theme="10"/>
      <sz val="12"/>
      <u val="single"/>
    </font>
    <font>
      <name val="Calibri"/>
      <charset val="1"/>
      <family val="2"/>
      <b val="1"/>
      <color theme="0"/>
      <sz val="12"/>
    </font>
    <font>
      <name val="Calibri"/>
      <charset val="1"/>
      <family val="2"/>
      <color rgb="FF000000"/>
      <sz val="12"/>
    </font>
  </fonts>
  <fills count="9">
    <fill>
      <patternFill/>
    </fill>
    <fill>
      <patternFill patternType="gray125"/>
    </fill>
    <fill>
      <patternFill patternType="solid">
        <fgColor theme="0"/>
        <bgColor rgb="FFFFF2CC"/>
      </patternFill>
    </fill>
    <fill>
      <patternFill patternType="solid">
        <fgColor theme="2"/>
        <bgColor rgb="FFDAE3F3"/>
      </patternFill>
    </fill>
    <fill>
      <patternFill patternType="solid">
        <fgColor theme="7" tint="0.7999000000000001"/>
        <bgColor rgb="FFE7E6E6"/>
      </patternFill>
    </fill>
    <fill>
      <patternFill patternType="solid">
        <fgColor theme="4" tint="0.7999000000000001"/>
        <bgColor rgb="FFE7E6E6"/>
      </patternFill>
    </fill>
    <fill>
      <patternFill patternType="solid">
        <fgColor rgb="FFFF0000"/>
        <bgColor rgb="FFC00000"/>
      </patternFill>
    </fill>
    <fill>
      <patternFill patternType="solid">
        <fgColor rgb="FFFFFF00"/>
        <bgColor rgb="FFFFFF00"/>
      </patternFill>
    </fill>
    <fill>
      <patternFill patternType="solid">
        <fgColor theme="8"/>
        <bgColor rgb="FF4472C4"/>
      </patternFill>
    </fill>
  </fills>
  <borders count="15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/>
      <bottom style="thin"/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theme="4"/>
      </bottom>
      <diagonal/>
    </border>
    <border>
      <left/>
      <right/>
      <top/>
      <bottom style="thin">
        <color theme="3"/>
      </bottom>
      <diagonal/>
    </border>
    <border>
      <left style="thin">
        <color theme="0"/>
      </left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0"/>
      </right>
      <top style="thin">
        <color theme="4"/>
      </top>
      <bottom style="thin">
        <color theme="4"/>
      </bottom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 style="thin"/>
      <bottom style="thin"/>
      <diagonal/>
    </border>
    <border>
      <left/>
      <right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281"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4" fillId="3" borderId="1" applyAlignment="1" pivotButton="0" quotePrefix="0" xfId="0">
      <alignment horizontal="center" vertical="bottom"/>
    </xf>
    <xf numFmtId="0" fontId="0" fillId="2" borderId="0" applyAlignment="1" pivotButton="0" quotePrefix="0" xfId="0">
      <alignment horizontal="center" vertical="bottom"/>
    </xf>
    <xf numFmtId="0" fontId="0" fillId="0" borderId="1" applyAlignment="1" pivotButton="0" quotePrefix="0" xfId="0">
      <alignment horizontal="center" vertical="bottom"/>
    </xf>
    <xf numFmtId="0" fontId="0" fillId="2" borderId="1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0" fillId="3" borderId="1" applyAlignment="1" pivotButton="0" quotePrefix="0" xfId="0">
      <alignment horizontal="center" vertical="bottom"/>
    </xf>
    <xf numFmtId="0" fontId="0" fillId="2" borderId="1" applyAlignment="1" pivotButton="0" quotePrefix="0" xfId="0">
      <alignment horizontal="center" vertical="bottom"/>
    </xf>
    <xf numFmtId="0" fontId="5" fillId="4" borderId="0" applyAlignment="1" pivotButton="0" quotePrefix="0" xfId="0">
      <alignment horizontal="center" vertical="bottom"/>
    </xf>
    <xf numFmtId="0" fontId="4" fillId="3" borderId="2" applyAlignment="1" pivotButton="0" quotePrefix="0" xfId="0">
      <alignment horizontal="center" vertical="bottom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 wrapText="1"/>
    </xf>
    <xf numFmtId="2" fontId="0" fillId="2" borderId="1" applyAlignment="1" pivotButton="0" quotePrefix="0" xfId="0">
      <alignment horizontal="center" vertical="bottom"/>
    </xf>
    <xf numFmtId="1" fontId="0" fillId="2" borderId="1" applyAlignment="1" pivotButton="0" quotePrefix="0" xfId="0">
      <alignment horizontal="center" vertical="bottom"/>
    </xf>
    <xf numFmtId="2" fontId="0" fillId="4" borderId="1" applyAlignment="1" pivotButton="0" quotePrefix="0" xfId="0">
      <alignment horizontal="center" vertical="bottom"/>
    </xf>
    <xf numFmtId="1" fontId="0" fillId="4" borderId="1" applyAlignment="1" pivotButton="0" quotePrefix="0" xfId="0">
      <alignment horizontal="center" vertical="bottom"/>
    </xf>
    <xf numFmtId="2" fontId="4" fillId="2" borderId="1" applyAlignment="1" pivotButton="0" quotePrefix="0" xfId="0">
      <alignment horizontal="center" vertical="bottom"/>
    </xf>
    <xf numFmtId="2" fontId="4" fillId="2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2" fontId="4" fillId="4" borderId="1" applyAlignment="1" pivotButton="0" quotePrefix="0" xfId="0">
      <alignment horizontal="center" vertical="bottom"/>
    </xf>
    <xf numFmtId="1" fontId="0" fillId="2" borderId="0" applyAlignment="1" pivotButton="0" quotePrefix="0" xfId="0">
      <alignment horizontal="general" vertical="bottom"/>
    </xf>
    <xf numFmtId="0" fontId="4" fillId="3" borderId="1" applyAlignment="1" pivotButton="0" quotePrefix="0" xfId="0">
      <alignment horizontal="center" vertical="bottom" wrapText="1"/>
    </xf>
    <xf numFmtId="9" fontId="0" fillId="3" borderId="1" applyAlignment="1" pivotButton="0" quotePrefix="0" xfId="0">
      <alignment horizontal="center" vertical="bottom"/>
    </xf>
    <xf numFmtId="1" fontId="0" fillId="0" borderId="1" applyAlignment="1" pivotButton="0" quotePrefix="0" xfId="0">
      <alignment horizontal="center" vertical="bottom"/>
    </xf>
    <xf numFmtId="2" fontId="0" fillId="0" borderId="1" applyAlignment="1" pivotButton="0" quotePrefix="0" xfId="0">
      <alignment horizontal="center" vertical="bottom"/>
    </xf>
    <xf numFmtId="0" fontId="0" fillId="4" borderId="1" applyAlignment="1" pivotButton="0" quotePrefix="0" xfId="0">
      <alignment horizontal="center" vertical="bottom"/>
    </xf>
    <xf numFmtId="0" fontId="4" fillId="2" borderId="1" applyAlignment="1" pivotButton="0" quotePrefix="0" xfId="0">
      <alignment horizontal="center" vertical="bottom"/>
    </xf>
    <xf numFmtId="1" fontId="4" fillId="2" borderId="1" applyAlignment="1" pivotButton="0" quotePrefix="0" xfId="0">
      <alignment horizontal="center" vertical="bottom"/>
    </xf>
    <xf numFmtId="1" fontId="0" fillId="3" borderId="1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2" fontId="0" fillId="0" borderId="0" applyAlignment="1" pivotButton="0" quotePrefix="0" xfId="0">
      <alignment horizontal="general" vertical="bottom"/>
    </xf>
    <xf numFmtId="0" fontId="8" fillId="0" borderId="3" applyAlignment="1" pivotButton="0" quotePrefix="0" xfId="0">
      <alignment horizontal="general" vertical="bottom"/>
    </xf>
    <xf numFmtId="2" fontId="8" fillId="0" borderId="3" applyAlignment="1" pivotButton="0" quotePrefix="0" xfId="0">
      <alignment horizontal="center" vertical="bottom" textRotation="90"/>
    </xf>
    <xf numFmtId="2" fontId="5" fillId="0" borderId="3" applyAlignment="1" pivotButton="0" quotePrefix="0" xfId="0">
      <alignment horizontal="right" vertical="bottom" textRotation="90" wrapText="1"/>
    </xf>
    <xf numFmtId="2" fontId="5" fillId="0" borderId="3" applyAlignment="1" pivotButton="0" quotePrefix="0" xfId="0">
      <alignment horizontal="right" vertical="bottom" textRotation="90"/>
    </xf>
    <xf numFmtId="1" fontId="8" fillId="0" borderId="3" applyAlignment="1" pivotButton="0" quotePrefix="0" xfId="0">
      <alignment horizontal="center" vertical="bottom"/>
    </xf>
    <xf numFmtId="1" fontId="8" fillId="0" borderId="3" applyAlignment="1" pivotButton="0" quotePrefix="0" xfId="0">
      <alignment horizontal="general" vertical="bottom"/>
    </xf>
    <xf numFmtId="1" fontId="8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general" vertical="bottom" wrapText="1"/>
    </xf>
    <xf numFmtId="0" fontId="9" fillId="5" borderId="0" applyAlignment="1" pivotButton="0" quotePrefix="0" xfId="0">
      <alignment horizontal="general" vertical="bottom"/>
    </xf>
    <xf numFmtId="2" fontId="9" fillId="5" borderId="0" applyAlignment="1" pivotButton="0" quotePrefix="0" xfId="0">
      <alignment horizontal="right" vertical="center"/>
    </xf>
    <xf numFmtId="2" fontId="5" fillId="5" borderId="0" applyAlignment="1" pivotButton="0" quotePrefix="0" xfId="0">
      <alignment horizontal="general" vertical="bottom"/>
    </xf>
    <xf numFmtId="9" fontId="0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2" fontId="9" fillId="0" borderId="0" applyAlignment="1" pivotButton="0" quotePrefix="0" xfId="0">
      <alignment horizontal="right" vertical="center"/>
    </xf>
    <xf numFmtId="2" fontId="5" fillId="0" borderId="0" applyAlignment="1" pivotButton="0" quotePrefix="0" xfId="0">
      <alignment horizontal="general" vertical="bottom"/>
    </xf>
    <xf numFmtId="0" fontId="9" fillId="0" borderId="4" applyAlignment="1" pivotButton="0" quotePrefix="0" xfId="0">
      <alignment horizontal="general" vertical="bottom"/>
    </xf>
    <xf numFmtId="2" fontId="9" fillId="0" borderId="4" applyAlignment="1" pivotButton="0" quotePrefix="0" xfId="0">
      <alignment horizontal="right" vertical="center"/>
    </xf>
    <xf numFmtId="2" fontId="5" fillId="0" borderId="4" applyAlignment="1" pivotButton="0" quotePrefix="0" xfId="0">
      <alignment horizontal="general" vertical="bottom"/>
    </xf>
    <xf numFmtId="2" fontId="9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2" fontId="5" fillId="5" borderId="0" applyAlignment="1" pivotButton="0" quotePrefix="0" xfId="0">
      <alignment horizontal="right" vertical="center"/>
    </xf>
    <xf numFmtId="2" fontId="5" fillId="0" borderId="0" applyAlignment="1" pivotButton="0" quotePrefix="0" xfId="0">
      <alignment horizontal="right" vertical="center"/>
    </xf>
    <xf numFmtId="2" fontId="5" fillId="0" borderId="4" applyAlignment="1" pivotButton="0" quotePrefix="0" xfId="0">
      <alignment horizontal="right" vertical="center"/>
    </xf>
    <xf numFmtId="0" fontId="4" fillId="0" borderId="0" applyAlignment="1" pivotButton="0" quotePrefix="0" xfId="0">
      <alignment horizontal="general" vertical="bottom"/>
    </xf>
    <xf numFmtId="0" fontId="9" fillId="5" borderId="3" applyAlignment="1" pivotButton="0" quotePrefix="0" xfId="0">
      <alignment horizontal="left" vertical="bottom"/>
    </xf>
    <xf numFmtId="1" fontId="9" fillId="5" borderId="3" applyAlignment="1" pivotButton="0" quotePrefix="0" xfId="0">
      <alignment horizontal="center" vertical="bottom"/>
    </xf>
    <xf numFmtId="0" fontId="9" fillId="0" borderId="0" applyAlignment="1" pivotButton="0" quotePrefix="0" xfId="0">
      <alignment horizontal="left" vertical="bottom"/>
    </xf>
    <xf numFmtId="1" fontId="9" fillId="0" borderId="0" applyAlignment="1" pivotButton="0" quotePrefix="0" xfId="0">
      <alignment horizontal="center" vertical="bottom"/>
    </xf>
    <xf numFmtId="0" fontId="9" fillId="5" borderId="0" applyAlignment="1" pivotButton="0" quotePrefix="0" xfId="0">
      <alignment horizontal="left" vertical="bottom"/>
    </xf>
    <xf numFmtId="1" fontId="9" fillId="5" borderId="0" applyAlignment="1" pivotButton="0" quotePrefix="0" xfId="0">
      <alignment horizontal="center" vertical="bottom"/>
    </xf>
    <xf numFmtId="0" fontId="9" fillId="5" borderId="3" applyAlignment="1" pivotButton="0" quotePrefix="0" xfId="0">
      <alignment horizontal="general" vertical="bottom"/>
    </xf>
    <xf numFmtId="2" fontId="9" fillId="5" borderId="3" applyAlignment="1" pivotButton="0" quotePrefix="0" xfId="0">
      <alignment horizontal="general" vertical="bottom"/>
    </xf>
    <xf numFmtId="2" fontId="9" fillId="5" borderId="0" applyAlignment="1" pivotButton="0" quotePrefix="0" xfId="0">
      <alignment horizontal="general" vertical="bottom"/>
    </xf>
    <xf numFmtId="0" fontId="9" fillId="0" borderId="5" applyAlignment="1" pivotButton="0" quotePrefix="0" xfId="0">
      <alignment horizontal="general" vertical="bottom"/>
    </xf>
    <xf numFmtId="2" fontId="9" fillId="0" borderId="5" applyAlignment="1" pivotButton="0" quotePrefix="0" xfId="0">
      <alignment horizontal="general" vertical="bottom"/>
    </xf>
    <xf numFmtId="0" fontId="9" fillId="0" borderId="3" applyAlignment="1" pivotButton="0" quotePrefix="0" xfId="0">
      <alignment horizontal="general" vertical="bottom"/>
    </xf>
    <xf numFmtId="0" fontId="0" fillId="3" borderId="0" applyAlignment="1" pivotButton="0" quotePrefix="0" xfId="0">
      <alignment horizontal="center" vertical="bottom"/>
    </xf>
    <xf numFmtId="0" fontId="0" fillId="3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 textRotation="90"/>
    </xf>
    <xf numFmtId="0" fontId="0" fillId="0" borderId="0" applyAlignment="1" pivotButton="0" quotePrefix="0" xfId="0">
      <alignment horizontal="center" vertical="center"/>
    </xf>
    <xf numFmtId="0" fontId="4" fillId="3" borderId="0" applyAlignment="1" pivotButton="0" quotePrefix="0" xfId="0">
      <alignment horizontal="center" vertical="center" textRotation="90"/>
    </xf>
    <xf numFmtId="2" fontId="4" fillId="3" borderId="0" applyAlignment="1" pivotButton="0" quotePrefix="0" xfId="0">
      <alignment horizontal="center" vertical="center" textRotation="90"/>
    </xf>
    <xf numFmtId="2" fontId="10" fillId="3" borderId="0" applyAlignment="1" pivotButton="0" quotePrefix="0" xfId="0">
      <alignment horizontal="center" vertical="center" textRotation="90"/>
    </xf>
    <xf numFmtId="1" fontId="10" fillId="3" borderId="0" applyAlignment="1" pivotButton="0" quotePrefix="0" xfId="0">
      <alignment horizontal="center" vertical="center" textRotation="90"/>
    </xf>
    <xf numFmtId="1" fontId="11" fillId="3" borderId="0" applyAlignment="1" pivotButton="0" quotePrefix="0" xfId="0">
      <alignment horizontal="general" vertical="bottom"/>
    </xf>
    <xf numFmtId="164" fontId="11" fillId="3" borderId="0" applyAlignment="1" pivotButton="0" quotePrefix="0" xfId="0">
      <alignment horizontal="general" vertical="bottom"/>
    </xf>
    <xf numFmtId="2" fontId="11" fillId="3" borderId="0" applyAlignment="1" pivotButton="0" quotePrefix="0" xfId="0">
      <alignment horizontal="general" vertical="bottom"/>
    </xf>
    <xf numFmtId="0" fontId="11" fillId="3" borderId="0" applyAlignment="1" pivotButton="0" quotePrefix="0" xfId="0">
      <alignment horizontal="center" vertical="bottom"/>
    </xf>
    <xf numFmtId="2" fontId="11" fillId="3" borderId="0" applyAlignment="1" pivotButton="0" quotePrefix="0" xfId="0">
      <alignment horizontal="center" vertical="bottom"/>
    </xf>
    <xf numFmtId="0" fontId="10" fillId="3" borderId="0" applyAlignment="1" pivotButton="0" quotePrefix="0" xfId="0">
      <alignment horizontal="center" vertical="center" textRotation="90"/>
    </xf>
    <xf numFmtId="2" fontId="0" fillId="0" borderId="1" applyAlignment="1" pivotButton="0" quotePrefix="0" xfId="0">
      <alignment horizontal="center" vertical="center" textRotation="90"/>
    </xf>
    <xf numFmtId="0" fontId="12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11" fillId="3" borderId="0" applyAlignment="1" pivotButton="0" quotePrefix="0" xfId="0">
      <alignment horizontal="center" vertical="bottom"/>
    </xf>
    <xf numFmtId="1" fontId="0" fillId="0" borderId="0" applyAlignment="1" pivotButton="0" quotePrefix="0" xfId="0">
      <alignment horizontal="general" vertical="bottom"/>
    </xf>
    <xf numFmtId="2" fontId="4" fillId="0" borderId="0" applyAlignment="1" pivotButton="0" quotePrefix="0" xfId="0">
      <alignment horizontal="center" vertical="center" textRotation="90"/>
    </xf>
    <xf numFmtId="2" fontId="0" fillId="0" borderId="0" applyAlignment="1" pivotButton="0" quotePrefix="0" xfId="0">
      <alignment horizontal="center" vertical="center" textRotation="90"/>
    </xf>
    <xf numFmtId="1" fontId="4" fillId="0" borderId="0" applyAlignment="1" pivotButton="0" quotePrefix="0" xfId="0">
      <alignment horizontal="center" vertical="center" textRotation="90"/>
    </xf>
    <xf numFmtId="0" fontId="11" fillId="0" borderId="0" applyAlignment="1" pivotButton="0" quotePrefix="0" xfId="0">
      <alignment horizontal="general" vertical="bottom"/>
    </xf>
    <xf numFmtId="1" fontId="0" fillId="3" borderId="0" applyAlignment="1" pivotButton="0" quotePrefix="0" xfId="0">
      <alignment horizontal="center" vertical="bottom"/>
    </xf>
    <xf numFmtId="2" fontId="0" fillId="3" borderId="0" applyAlignment="1" pivotButton="0" quotePrefix="0" xfId="0">
      <alignment horizontal="center" vertical="bottom"/>
    </xf>
    <xf numFmtId="2" fontId="0" fillId="0" borderId="0" applyAlignment="1" pivotButton="0" quotePrefix="0" xfId="0">
      <alignment horizontal="center" vertical="bottom"/>
    </xf>
    <xf numFmtId="165" fontId="0" fillId="3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center" vertical="bottom"/>
    </xf>
    <xf numFmtId="0" fontId="11" fillId="6" borderId="0" applyAlignment="1" pivotButton="0" quotePrefix="0" xfId="0">
      <alignment horizontal="center" vertical="bottom"/>
    </xf>
    <xf numFmtId="1" fontId="0" fillId="3" borderId="0" applyAlignment="1" pivotButton="0" quotePrefix="0" xfId="0">
      <alignment horizontal="center" vertical="bottom"/>
    </xf>
    <xf numFmtId="2" fontId="0" fillId="3" borderId="0" applyAlignment="1" pivotButton="0" quotePrefix="0" xfId="0">
      <alignment horizontal="center" vertical="bottom"/>
    </xf>
    <xf numFmtId="2" fontId="0" fillId="6" borderId="0" applyAlignment="1" pivotButton="0" quotePrefix="0" xfId="0">
      <alignment horizontal="center" vertical="bottom"/>
    </xf>
    <xf numFmtId="165" fontId="0" fillId="3" borderId="0" applyAlignment="1" pivotButton="0" quotePrefix="0" xfId="0">
      <alignment horizontal="center" vertical="bottom"/>
    </xf>
    <xf numFmtId="165" fontId="0" fillId="0" borderId="0" applyAlignment="1" pivotButton="0" quotePrefix="0" xfId="0">
      <alignment horizontal="general" vertical="bottom"/>
    </xf>
    <xf numFmtId="0" fontId="14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15" fillId="0" borderId="3" applyAlignment="1" pivotButton="0" quotePrefix="0" xfId="0">
      <alignment horizontal="general" vertical="bottom"/>
    </xf>
    <xf numFmtId="1" fontId="15" fillId="0" borderId="6" applyAlignment="1" pivotButton="0" quotePrefix="0" xfId="0">
      <alignment horizontal="center" vertical="bottom"/>
    </xf>
    <xf numFmtId="0" fontId="0" fillId="0" borderId="0" applyAlignment="1" pivotButton="0" quotePrefix="0" xfId="0">
      <alignment horizontal="left" vertical="bottom"/>
    </xf>
    <xf numFmtId="0" fontId="16" fillId="5" borderId="3" applyAlignment="1" pivotButton="0" quotePrefix="0" xfId="0">
      <alignment horizontal="general" vertical="bottom"/>
    </xf>
    <xf numFmtId="0" fontId="16" fillId="0" borderId="0" applyAlignment="1" pivotButton="0" quotePrefix="0" xfId="0">
      <alignment horizontal="general" vertical="bottom"/>
    </xf>
    <xf numFmtId="1" fontId="16" fillId="0" borderId="0" applyAlignment="1" pivotButton="0" quotePrefix="0" xfId="0">
      <alignment horizontal="general" vertical="bottom"/>
    </xf>
    <xf numFmtId="164" fontId="17" fillId="7" borderId="0" applyAlignment="1" pivotButton="0" quotePrefix="0" xfId="0">
      <alignment horizontal="general" vertical="bottom"/>
    </xf>
    <xf numFmtId="0" fontId="16" fillId="5" borderId="4" applyAlignment="1" pivotButton="0" quotePrefix="0" xfId="0">
      <alignment horizontal="general" vertical="bottom"/>
    </xf>
    <xf numFmtId="0" fontId="15" fillId="0" borderId="7" applyAlignment="1" pivotButton="0" quotePrefix="0" xfId="0">
      <alignment horizontal="general" vertical="bottom"/>
    </xf>
    <xf numFmtId="1" fontId="15" fillId="0" borderId="8" applyAlignment="1" pivotButton="0" quotePrefix="0" xfId="0">
      <alignment horizontal="center" vertical="bottom"/>
    </xf>
    <xf numFmtId="0" fontId="16" fillId="5" borderId="0" applyAlignment="1" pivotButton="0" quotePrefix="0" xfId="0">
      <alignment horizontal="general" vertical="bottom"/>
    </xf>
    <xf numFmtId="1" fontId="16" fillId="5" borderId="0" applyAlignment="1" pivotButton="0" quotePrefix="0" xfId="0">
      <alignment horizontal="general" vertical="bottom"/>
    </xf>
    <xf numFmtId="9" fontId="16" fillId="0" borderId="0" applyAlignment="1" pivotButton="0" quotePrefix="0" xfId="0">
      <alignment horizontal="general" vertical="bottom"/>
    </xf>
    <xf numFmtId="9" fontId="16" fillId="5" borderId="4" applyAlignment="1" pivotButton="0" quotePrefix="0" xfId="0">
      <alignment horizontal="general" vertical="bottom"/>
    </xf>
    <xf numFmtId="9" fontId="16" fillId="5" borderId="3" applyAlignment="1" pivotButton="0" quotePrefix="0" xfId="0">
      <alignment horizontal="general" vertical="bottom"/>
    </xf>
    <xf numFmtId="0" fontId="16" fillId="0" borderId="4" applyAlignment="1" pivotButton="0" quotePrefix="0" xfId="0">
      <alignment horizontal="general" vertical="bottom"/>
    </xf>
    <xf numFmtId="9" fontId="16" fillId="0" borderId="4" applyAlignment="1" pivotButton="0" quotePrefix="0" xfId="0">
      <alignment horizontal="general" vertical="bottom"/>
    </xf>
    <xf numFmtId="1" fontId="15" fillId="0" borderId="3" applyAlignment="1" pivotButton="0" quotePrefix="0" xfId="0">
      <alignment horizontal="center" vertical="bottom"/>
    </xf>
    <xf numFmtId="0" fontId="16" fillId="5" borderId="3" applyAlignment="1" pivotButton="0" quotePrefix="0" xfId="0">
      <alignment horizontal="center" vertical="bottom"/>
    </xf>
    <xf numFmtId="1" fontId="16" fillId="0" borderId="4" applyAlignment="1" pivotButton="0" quotePrefix="0" xfId="0">
      <alignment horizontal="center" vertical="bottom"/>
    </xf>
    <xf numFmtId="1" fontId="16" fillId="0" borderId="0" applyAlignment="1" pivotButton="0" quotePrefix="0" xfId="0">
      <alignment horizontal="center" vertical="bottom"/>
    </xf>
    <xf numFmtId="0" fontId="16" fillId="0" borderId="0" applyAlignment="1" pivotButton="0" quotePrefix="0" xfId="0">
      <alignment horizontal="center" vertical="bottom"/>
    </xf>
    <xf numFmtId="164" fontId="16" fillId="5" borderId="3" applyAlignment="1" pivotButton="0" quotePrefix="0" xfId="0">
      <alignment horizontal="general" vertical="bottom"/>
    </xf>
    <xf numFmtId="164" fontId="16" fillId="0" borderId="0" applyAlignment="1" pivotButton="0" quotePrefix="0" xfId="0">
      <alignment horizontal="general" vertical="bottom"/>
    </xf>
    <xf numFmtId="164" fontId="16" fillId="5" borderId="0" applyAlignment="1" pivotButton="0" quotePrefix="0" xfId="0">
      <alignment horizontal="general" vertical="bottom"/>
    </xf>
    <xf numFmtId="164" fontId="16" fillId="0" borderId="4" applyAlignment="1" pivotButton="0" quotePrefix="0" xfId="0">
      <alignment horizontal="general" vertical="bottom"/>
    </xf>
    <xf numFmtId="1" fontId="15" fillId="0" borderId="3" applyAlignment="1" pivotButton="0" quotePrefix="0" xfId="0">
      <alignment horizontal="general" vertical="bottom"/>
    </xf>
    <xf numFmtId="1" fontId="16" fillId="5" borderId="3" applyAlignment="1" pivotButton="0" quotePrefix="0" xfId="0">
      <alignment horizontal="general" vertical="bottom"/>
    </xf>
    <xf numFmtId="1" fontId="16" fillId="0" borderId="4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  <xf numFmtId="49" fontId="8" fillId="0" borderId="0" applyAlignment="1" pivotButton="0" quotePrefix="0" xfId="0">
      <alignment horizontal="general" vertical="bottom"/>
    </xf>
    <xf numFmtId="2" fontId="8" fillId="0" borderId="0" applyAlignment="1" pivotButton="0" quotePrefix="0" xfId="0">
      <alignment horizontal="general" vertical="bottom"/>
    </xf>
    <xf numFmtId="49" fontId="18" fillId="0" borderId="0" applyAlignment="1" pivotButton="0" quotePrefix="0" xfId="0">
      <alignment horizontal="general" vertical="bottom"/>
    </xf>
    <xf numFmtId="49" fontId="19" fillId="0" borderId="0" applyAlignment="1" pivotButton="0" quotePrefix="0" xfId="0">
      <alignment horizontal="general" vertical="bottom"/>
    </xf>
    <xf numFmtId="0" fontId="20" fillId="8" borderId="0" applyAlignment="1" pivotButton="0" quotePrefix="0" xfId="0">
      <alignment horizontal="center" vertical="bottom"/>
    </xf>
    <xf numFmtId="0" fontId="20" fillId="8" borderId="0" applyAlignment="1" pivotButton="0" quotePrefix="0" xfId="0">
      <alignment horizontal="right" vertical="bottom"/>
    </xf>
    <xf numFmtId="166" fontId="4" fillId="0" borderId="0" applyAlignment="1" pivotButton="0" quotePrefix="0" xfId="0">
      <alignment horizontal="general" vertical="bottom"/>
    </xf>
    <xf numFmtId="0" fontId="21" fillId="0" borderId="0" applyAlignment="1" pivotButton="0" quotePrefix="0" xfId="0">
      <alignment horizontal="center" vertical="bottom"/>
    </xf>
    <xf numFmtId="0" fontId="0" fillId="2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3" borderId="1" applyAlignment="1" pivotButton="0" quotePrefix="0" xfId="0">
      <alignment horizontal="center" vertical="bottom"/>
    </xf>
    <xf numFmtId="0" fontId="0" fillId="0" borderId="11" pivotButton="0" quotePrefix="0" xfId="0"/>
    <xf numFmtId="0" fontId="0" fillId="2" borderId="0" applyAlignment="1" pivotButton="0" quotePrefix="0" xfId="0">
      <alignment horizontal="center" vertical="bottom"/>
    </xf>
    <xf numFmtId="0" fontId="0" fillId="0" borderId="1" applyAlignment="1" pivotButton="0" quotePrefix="0" xfId="0">
      <alignment horizontal="center" vertical="bottom"/>
    </xf>
    <xf numFmtId="0" fontId="0" fillId="2" borderId="1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0" fillId="3" borderId="1" applyAlignment="1" pivotButton="0" quotePrefix="0" xfId="0">
      <alignment horizontal="center" vertical="bottom"/>
    </xf>
    <xf numFmtId="0" fontId="0" fillId="0" borderId="12" pivotButton="0" quotePrefix="0" xfId="0"/>
    <xf numFmtId="0" fontId="5" fillId="4" borderId="0" applyAlignment="1" pivotButton="0" quotePrefix="0" xfId="0">
      <alignment horizontal="center" vertical="bottom"/>
    </xf>
    <xf numFmtId="0" fontId="4" fillId="3" borderId="2" applyAlignment="1" pivotButton="0" quotePrefix="0" xfId="0">
      <alignment horizontal="center" vertical="bottom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 wrapText="1"/>
    </xf>
    <xf numFmtId="0" fontId="0" fillId="0" borderId="2" pivotButton="0" quotePrefix="0" xfId="0"/>
    <xf numFmtId="2" fontId="0" fillId="2" borderId="1" applyAlignment="1" pivotButton="0" quotePrefix="0" xfId="0">
      <alignment horizontal="center" vertical="bottom"/>
    </xf>
    <xf numFmtId="1" fontId="0" fillId="2" borderId="1" applyAlignment="1" pivotButton="0" quotePrefix="0" xfId="0">
      <alignment horizontal="center" vertical="bottom"/>
    </xf>
    <xf numFmtId="2" fontId="0" fillId="4" borderId="1" applyAlignment="1" pivotButton="0" quotePrefix="0" xfId="0">
      <alignment horizontal="center" vertical="bottom"/>
    </xf>
    <xf numFmtId="1" fontId="0" fillId="4" borderId="1" applyAlignment="1" pivotButton="0" quotePrefix="0" xfId="0">
      <alignment horizontal="center" vertical="bottom"/>
    </xf>
    <xf numFmtId="2" fontId="4" fillId="2" borderId="1" applyAlignment="1" pivotButton="0" quotePrefix="0" xfId="0">
      <alignment horizontal="center" vertical="bottom"/>
    </xf>
    <xf numFmtId="2" fontId="4" fillId="2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2" fontId="4" fillId="4" borderId="1" applyAlignment="1" pivotButton="0" quotePrefix="0" xfId="0">
      <alignment horizontal="center" vertical="bottom"/>
    </xf>
    <xf numFmtId="1" fontId="0" fillId="2" borderId="0" applyAlignment="1" pivotButton="0" quotePrefix="0" xfId="0">
      <alignment horizontal="general" vertical="bottom"/>
    </xf>
    <xf numFmtId="0" fontId="4" fillId="3" borderId="1" applyAlignment="1" pivotButton="0" quotePrefix="0" xfId="0">
      <alignment horizontal="center" vertical="bottom" wrapText="1"/>
    </xf>
    <xf numFmtId="9" fontId="0" fillId="3" borderId="1" applyAlignment="1" pivotButton="0" quotePrefix="0" xfId="0">
      <alignment horizontal="center" vertical="bottom"/>
    </xf>
    <xf numFmtId="1" fontId="0" fillId="0" borderId="1" applyAlignment="1" pivotButton="0" quotePrefix="0" xfId="0">
      <alignment horizontal="center" vertical="bottom"/>
    </xf>
    <xf numFmtId="2" fontId="0" fillId="0" borderId="1" applyAlignment="1" pivotButton="0" quotePrefix="0" xfId="0">
      <alignment horizontal="center" vertical="bottom"/>
    </xf>
    <xf numFmtId="0" fontId="0" fillId="4" borderId="1" applyAlignment="1" pivotButton="0" quotePrefix="0" xfId="0">
      <alignment horizontal="center" vertical="bottom"/>
    </xf>
    <xf numFmtId="0" fontId="4" fillId="2" borderId="1" applyAlignment="1" pivotButton="0" quotePrefix="0" xfId="0">
      <alignment horizontal="center" vertical="bottom"/>
    </xf>
    <xf numFmtId="1" fontId="4" fillId="2" borderId="1" applyAlignment="1" pivotButton="0" quotePrefix="0" xfId="0">
      <alignment horizontal="center" vertical="bottom"/>
    </xf>
    <xf numFmtId="1" fontId="0" fillId="3" borderId="1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2" fontId="0" fillId="0" borderId="0" applyAlignment="1" pivotButton="0" quotePrefix="0" xfId="0">
      <alignment horizontal="general" vertical="bottom"/>
    </xf>
    <xf numFmtId="0" fontId="8" fillId="0" borderId="3" applyAlignment="1" pivotButton="0" quotePrefix="0" xfId="0">
      <alignment horizontal="general" vertical="bottom"/>
    </xf>
    <xf numFmtId="2" fontId="8" fillId="0" borderId="3" applyAlignment="1" pivotButton="0" quotePrefix="0" xfId="0">
      <alignment horizontal="center" vertical="bottom" textRotation="90"/>
    </xf>
    <xf numFmtId="2" fontId="5" fillId="0" borderId="3" applyAlignment="1" pivotButton="0" quotePrefix="0" xfId="0">
      <alignment horizontal="right" vertical="bottom" textRotation="90" wrapText="1"/>
    </xf>
    <xf numFmtId="2" fontId="5" fillId="0" borderId="3" applyAlignment="1" pivotButton="0" quotePrefix="0" xfId="0">
      <alignment horizontal="right" vertical="bottom" textRotation="90"/>
    </xf>
    <xf numFmtId="1" fontId="8" fillId="0" borderId="3" applyAlignment="1" pivotButton="0" quotePrefix="0" xfId="0">
      <alignment horizontal="center" vertical="bottom"/>
    </xf>
    <xf numFmtId="1" fontId="8" fillId="0" borderId="3" applyAlignment="1" pivotButton="0" quotePrefix="0" xfId="0">
      <alignment horizontal="general" vertical="bottom"/>
    </xf>
    <xf numFmtId="1" fontId="8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general" vertical="bottom" wrapText="1"/>
    </xf>
    <xf numFmtId="0" fontId="9" fillId="5" borderId="0" applyAlignment="1" pivotButton="0" quotePrefix="0" xfId="0">
      <alignment horizontal="general" vertical="bottom"/>
    </xf>
    <xf numFmtId="2" fontId="9" fillId="5" borderId="0" applyAlignment="1" pivotButton="0" quotePrefix="0" xfId="0">
      <alignment horizontal="right" vertical="center"/>
    </xf>
    <xf numFmtId="2" fontId="5" fillId="5" borderId="0" applyAlignment="1" pivotButton="0" quotePrefix="0" xfId="0">
      <alignment horizontal="general" vertical="bottom"/>
    </xf>
    <xf numFmtId="9" fontId="0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2" fontId="9" fillId="0" borderId="0" applyAlignment="1" pivotButton="0" quotePrefix="0" xfId="0">
      <alignment horizontal="right" vertical="center"/>
    </xf>
    <xf numFmtId="2" fontId="5" fillId="0" borderId="0" applyAlignment="1" pivotButton="0" quotePrefix="0" xfId="0">
      <alignment horizontal="general" vertical="bottom"/>
    </xf>
    <xf numFmtId="0" fontId="9" fillId="0" borderId="4" applyAlignment="1" pivotButton="0" quotePrefix="0" xfId="0">
      <alignment horizontal="general" vertical="bottom"/>
    </xf>
    <xf numFmtId="2" fontId="9" fillId="0" borderId="4" applyAlignment="1" pivotButton="0" quotePrefix="0" xfId="0">
      <alignment horizontal="right" vertical="center"/>
    </xf>
    <xf numFmtId="2" fontId="5" fillId="0" borderId="4" applyAlignment="1" pivotButton="0" quotePrefix="0" xfId="0">
      <alignment horizontal="general" vertical="bottom"/>
    </xf>
    <xf numFmtId="2" fontId="9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2" fontId="5" fillId="5" borderId="0" applyAlignment="1" pivotButton="0" quotePrefix="0" xfId="0">
      <alignment horizontal="right" vertical="center"/>
    </xf>
    <xf numFmtId="2" fontId="5" fillId="0" borderId="0" applyAlignment="1" pivotButton="0" quotePrefix="0" xfId="0">
      <alignment horizontal="right" vertical="center"/>
    </xf>
    <xf numFmtId="2" fontId="5" fillId="0" borderId="4" applyAlignment="1" pivotButton="0" quotePrefix="0" xfId="0">
      <alignment horizontal="right" vertical="center"/>
    </xf>
    <xf numFmtId="0" fontId="4" fillId="0" borderId="0" applyAlignment="1" pivotButton="0" quotePrefix="0" xfId="0">
      <alignment horizontal="general" vertical="bottom"/>
    </xf>
    <xf numFmtId="0" fontId="9" fillId="5" borderId="3" applyAlignment="1" pivotButton="0" quotePrefix="0" xfId="0">
      <alignment horizontal="left" vertical="bottom"/>
    </xf>
    <xf numFmtId="1" fontId="9" fillId="5" borderId="3" applyAlignment="1" pivotButton="0" quotePrefix="0" xfId="0">
      <alignment horizontal="center" vertical="bottom"/>
    </xf>
    <xf numFmtId="0" fontId="9" fillId="0" borderId="0" applyAlignment="1" pivotButton="0" quotePrefix="0" xfId="0">
      <alignment horizontal="left" vertical="bottom"/>
    </xf>
    <xf numFmtId="1" fontId="9" fillId="0" borderId="0" applyAlignment="1" pivotButton="0" quotePrefix="0" xfId="0">
      <alignment horizontal="center" vertical="bottom"/>
    </xf>
    <xf numFmtId="0" fontId="9" fillId="5" borderId="0" applyAlignment="1" pivotButton="0" quotePrefix="0" xfId="0">
      <alignment horizontal="left" vertical="bottom"/>
    </xf>
    <xf numFmtId="1" fontId="9" fillId="5" borderId="0" applyAlignment="1" pivotButton="0" quotePrefix="0" xfId="0">
      <alignment horizontal="center" vertical="bottom"/>
    </xf>
    <xf numFmtId="0" fontId="9" fillId="5" borderId="3" applyAlignment="1" pivotButton="0" quotePrefix="0" xfId="0">
      <alignment horizontal="general" vertical="bottom"/>
    </xf>
    <xf numFmtId="2" fontId="9" fillId="5" borderId="3" applyAlignment="1" pivotButton="0" quotePrefix="0" xfId="0">
      <alignment horizontal="general" vertical="bottom"/>
    </xf>
    <xf numFmtId="2" fontId="9" fillId="5" borderId="0" applyAlignment="1" pivotButton="0" quotePrefix="0" xfId="0">
      <alignment horizontal="general" vertical="bottom"/>
    </xf>
    <xf numFmtId="0" fontId="9" fillId="0" borderId="5" applyAlignment="1" pivotButton="0" quotePrefix="0" xfId="0">
      <alignment horizontal="general" vertical="bottom"/>
    </xf>
    <xf numFmtId="2" fontId="9" fillId="0" borderId="5" applyAlignment="1" pivotButton="0" quotePrefix="0" xfId="0">
      <alignment horizontal="general" vertical="bottom"/>
    </xf>
    <xf numFmtId="0" fontId="9" fillId="0" borderId="3" applyAlignment="1" pivotButton="0" quotePrefix="0" xfId="0">
      <alignment horizontal="general" vertical="bottom"/>
    </xf>
    <xf numFmtId="0" fontId="0" fillId="3" borderId="0" applyAlignment="1" pivotButton="0" quotePrefix="0" xfId="0">
      <alignment horizontal="center" vertical="bottom"/>
    </xf>
    <xf numFmtId="0" fontId="0" fillId="3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textRotation="90"/>
    </xf>
    <xf numFmtId="0" fontId="4" fillId="3" borderId="0" applyAlignment="1" pivotButton="0" quotePrefix="0" xfId="0">
      <alignment horizontal="center" vertical="center" textRotation="90"/>
    </xf>
    <xf numFmtId="2" fontId="4" fillId="3" borderId="0" applyAlignment="1" pivotButton="0" quotePrefix="0" xfId="0">
      <alignment horizontal="center" vertical="center" textRotation="90"/>
    </xf>
    <xf numFmtId="2" fontId="10" fillId="3" borderId="0" applyAlignment="1" pivotButton="0" quotePrefix="0" xfId="0">
      <alignment horizontal="center" vertical="center" textRotation="90"/>
    </xf>
    <xf numFmtId="1" fontId="10" fillId="3" borderId="0" applyAlignment="1" pivotButton="0" quotePrefix="0" xfId="0">
      <alignment horizontal="center" vertical="center" textRotation="90"/>
    </xf>
    <xf numFmtId="1" fontId="11" fillId="3" borderId="0" applyAlignment="1" pivotButton="0" quotePrefix="0" xfId="0">
      <alignment horizontal="general" vertical="bottom"/>
    </xf>
    <xf numFmtId="164" fontId="11" fillId="3" borderId="0" applyAlignment="1" pivotButton="0" quotePrefix="0" xfId="0">
      <alignment horizontal="general" vertical="bottom"/>
    </xf>
    <xf numFmtId="2" fontId="11" fillId="3" borderId="0" applyAlignment="1" pivotButton="0" quotePrefix="0" xfId="0">
      <alignment horizontal="general" vertical="bottom"/>
    </xf>
    <xf numFmtId="0" fontId="11" fillId="3" borderId="0" applyAlignment="1" pivotButton="0" quotePrefix="0" xfId="0">
      <alignment horizontal="center" vertical="bottom"/>
    </xf>
    <xf numFmtId="2" fontId="11" fillId="3" borderId="0" applyAlignment="1" pivotButton="0" quotePrefix="0" xfId="0">
      <alignment horizontal="center" vertical="bottom"/>
    </xf>
    <xf numFmtId="0" fontId="10" fillId="3" borderId="0" applyAlignment="1" pivotButton="0" quotePrefix="0" xfId="0">
      <alignment horizontal="center" vertical="center" textRotation="90"/>
    </xf>
    <xf numFmtId="2" fontId="0" fillId="0" borderId="1" applyAlignment="1" pivotButton="0" quotePrefix="0" xfId="0">
      <alignment horizontal="center" vertical="center" textRotation="90"/>
    </xf>
    <xf numFmtId="0" fontId="12" fillId="0" borderId="0" applyAlignment="1" pivotButton="0" quotePrefix="0" xfId="0">
      <alignment horizontal="general" vertical="bottom"/>
    </xf>
    <xf numFmtId="1" fontId="0" fillId="0" borderId="0" applyAlignment="1" pivotButton="0" quotePrefix="0" xfId="0">
      <alignment horizontal="general" vertical="bottom"/>
    </xf>
    <xf numFmtId="2" fontId="4" fillId="0" borderId="0" applyAlignment="1" pivotButton="0" quotePrefix="0" xfId="0">
      <alignment horizontal="center" vertical="center" textRotation="90"/>
    </xf>
    <xf numFmtId="2" fontId="0" fillId="0" borderId="0" applyAlignment="1" pivotButton="0" quotePrefix="0" xfId="0">
      <alignment horizontal="center" vertical="center" textRotation="90"/>
    </xf>
    <xf numFmtId="1" fontId="4" fillId="0" borderId="0" applyAlignment="1" pivotButton="0" quotePrefix="0" xfId="0">
      <alignment horizontal="center" vertical="center" textRotation="90"/>
    </xf>
    <xf numFmtId="0" fontId="11" fillId="0" borderId="0" applyAlignment="1" pivotButton="0" quotePrefix="0" xfId="0">
      <alignment horizontal="general" vertical="bottom"/>
    </xf>
    <xf numFmtId="1" fontId="0" fillId="3" borderId="0" applyAlignment="1" pivotButton="0" quotePrefix="0" xfId="0">
      <alignment horizontal="center" vertical="bottom"/>
    </xf>
    <xf numFmtId="2" fontId="0" fillId="3" borderId="0" applyAlignment="1" pivotButton="0" quotePrefix="0" xfId="0">
      <alignment horizontal="center" vertical="bottom"/>
    </xf>
    <xf numFmtId="2" fontId="0" fillId="0" borderId="0" applyAlignment="1" pivotButton="0" quotePrefix="0" xfId="0">
      <alignment horizontal="center" vertical="bottom"/>
    </xf>
    <xf numFmtId="165" fontId="0" fillId="3" borderId="0" applyAlignment="1" pivotButton="0" quotePrefix="0" xfId="0">
      <alignment horizontal="center" vertical="bottom"/>
    </xf>
    <xf numFmtId="0" fontId="11" fillId="6" borderId="0" applyAlignment="1" pivotButton="0" quotePrefix="0" xfId="0">
      <alignment horizontal="center" vertical="bottom"/>
    </xf>
    <xf numFmtId="2" fontId="0" fillId="6" borderId="0" applyAlignment="1" pivotButton="0" quotePrefix="0" xfId="0">
      <alignment horizontal="center" vertical="bottom"/>
    </xf>
    <xf numFmtId="165" fontId="0" fillId="0" borderId="0" applyAlignment="1" pivotButton="0" quotePrefix="0" xfId="0">
      <alignment horizontal="general" vertical="bottom"/>
    </xf>
    <xf numFmtId="0" fontId="14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15" fillId="0" borderId="3" applyAlignment="1" pivotButton="0" quotePrefix="0" xfId="0">
      <alignment horizontal="general" vertical="bottom"/>
    </xf>
    <xf numFmtId="1" fontId="15" fillId="0" borderId="6" applyAlignment="1" pivotButton="0" quotePrefix="0" xfId="0">
      <alignment horizontal="center" vertical="bottom"/>
    </xf>
    <xf numFmtId="0" fontId="0" fillId="0" borderId="0" applyAlignment="1" pivotButton="0" quotePrefix="0" xfId="0">
      <alignment horizontal="left" vertical="bottom"/>
    </xf>
    <xf numFmtId="0" fontId="16" fillId="5" borderId="3" applyAlignment="1" pivotButton="0" quotePrefix="0" xfId="0">
      <alignment horizontal="general" vertical="bottom"/>
    </xf>
    <xf numFmtId="0" fontId="16" fillId="0" borderId="0" applyAlignment="1" pivotButton="0" quotePrefix="0" xfId="0">
      <alignment horizontal="general" vertical="bottom"/>
    </xf>
    <xf numFmtId="1" fontId="16" fillId="0" borderId="0" applyAlignment="1" pivotButton="0" quotePrefix="0" xfId="0">
      <alignment horizontal="general" vertical="bottom"/>
    </xf>
    <xf numFmtId="164" fontId="17" fillId="7" borderId="0" applyAlignment="1" pivotButton="0" quotePrefix="0" xfId="0">
      <alignment horizontal="general" vertical="bottom"/>
    </xf>
    <xf numFmtId="0" fontId="16" fillId="5" borderId="4" applyAlignment="1" pivotButton="0" quotePrefix="0" xfId="0">
      <alignment horizontal="general" vertical="bottom"/>
    </xf>
    <xf numFmtId="0" fontId="15" fillId="0" borderId="7" applyAlignment="1" pivotButton="0" quotePrefix="0" xfId="0">
      <alignment horizontal="general" vertical="bottom"/>
    </xf>
    <xf numFmtId="1" fontId="15" fillId="0" borderId="8" applyAlignment="1" pivotButton="0" quotePrefix="0" xfId="0">
      <alignment horizontal="center" vertical="bottom"/>
    </xf>
    <xf numFmtId="0" fontId="16" fillId="5" borderId="0" applyAlignment="1" pivotButton="0" quotePrefix="0" xfId="0">
      <alignment horizontal="general" vertical="bottom"/>
    </xf>
    <xf numFmtId="1" fontId="16" fillId="5" borderId="0" applyAlignment="1" pivotButton="0" quotePrefix="0" xfId="0">
      <alignment horizontal="general" vertical="bottom"/>
    </xf>
    <xf numFmtId="9" fontId="16" fillId="0" borderId="0" applyAlignment="1" pivotButton="0" quotePrefix="0" xfId="0">
      <alignment horizontal="general" vertical="bottom"/>
    </xf>
    <xf numFmtId="9" fontId="16" fillId="5" borderId="4" applyAlignment="1" pivotButton="0" quotePrefix="0" xfId="0">
      <alignment horizontal="general" vertical="bottom"/>
    </xf>
    <xf numFmtId="9" fontId="16" fillId="5" borderId="3" applyAlignment="1" pivotButton="0" quotePrefix="0" xfId="0">
      <alignment horizontal="general" vertical="bottom"/>
    </xf>
    <xf numFmtId="0" fontId="16" fillId="0" borderId="4" applyAlignment="1" pivotButton="0" quotePrefix="0" xfId="0">
      <alignment horizontal="general" vertical="bottom"/>
    </xf>
    <xf numFmtId="9" fontId="16" fillId="0" borderId="4" applyAlignment="1" pivotButton="0" quotePrefix="0" xfId="0">
      <alignment horizontal="general" vertical="bottom"/>
    </xf>
    <xf numFmtId="1" fontId="15" fillId="0" borderId="3" applyAlignment="1" pivotButton="0" quotePrefix="0" xfId="0">
      <alignment horizontal="center" vertical="bottom"/>
    </xf>
    <xf numFmtId="0" fontId="16" fillId="5" borderId="3" applyAlignment="1" pivotButton="0" quotePrefix="0" xfId="0">
      <alignment horizontal="center" vertical="bottom"/>
    </xf>
    <xf numFmtId="1" fontId="16" fillId="0" borderId="4" applyAlignment="1" pivotButton="0" quotePrefix="0" xfId="0">
      <alignment horizontal="center" vertical="bottom"/>
    </xf>
    <xf numFmtId="1" fontId="16" fillId="0" borderId="0" applyAlignment="1" pivotButton="0" quotePrefix="0" xfId="0">
      <alignment horizontal="center" vertical="bottom"/>
    </xf>
    <xf numFmtId="0" fontId="16" fillId="0" borderId="0" applyAlignment="1" pivotButton="0" quotePrefix="0" xfId="0">
      <alignment horizontal="center" vertical="bottom"/>
    </xf>
    <xf numFmtId="164" fontId="16" fillId="5" borderId="3" applyAlignment="1" pivotButton="0" quotePrefix="0" xfId="0">
      <alignment horizontal="general" vertical="bottom"/>
    </xf>
    <xf numFmtId="164" fontId="16" fillId="0" borderId="0" applyAlignment="1" pivotButton="0" quotePrefix="0" xfId="0">
      <alignment horizontal="general" vertical="bottom"/>
    </xf>
    <xf numFmtId="164" fontId="16" fillId="5" borderId="0" applyAlignment="1" pivotButton="0" quotePrefix="0" xfId="0">
      <alignment horizontal="general" vertical="bottom"/>
    </xf>
    <xf numFmtId="164" fontId="16" fillId="0" borderId="4" applyAlignment="1" pivotButton="0" quotePrefix="0" xfId="0">
      <alignment horizontal="general" vertical="bottom"/>
    </xf>
    <xf numFmtId="1" fontId="15" fillId="0" borderId="3" applyAlignment="1" pivotButton="0" quotePrefix="0" xfId="0">
      <alignment horizontal="general" vertical="bottom"/>
    </xf>
    <xf numFmtId="1" fontId="16" fillId="5" borderId="3" applyAlignment="1" pivotButton="0" quotePrefix="0" xfId="0">
      <alignment horizontal="general" vertical="bottom"/>
    </xf>
    <xf numFmtId="1" fontId="16" fillId="0" borderId="4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  <xf numFmtId="49" fontId="8" fillId="0" borderId="0" applyAlignment="1" pivotButton="0" quotePrefix="0" xfId="0">
      <alignment horizontal="general" vertical="bottom"/>
    </xf>
    <xf numFmtId="2" fontId="8" fillId="0" borderId="0" applyAlignment="1" pivotButton="0" quotePrefix="0" xfId="0">
      <alignment horizontal="general" vertical="bottom"/>
    </xf>
    <xf numFmtId="49" fontId="18" fillId="0" borderId="0" applyAlignment="1" pivotButton="0" quotePrefix="0" xfId="0">
      <alignment horizontal="general" vertical="bottom"/>
    </xf>
    <xf numFmtId="49" fontId="19" fillId="0" borderId="0" applyAlignment="1" pivotButton="0" quotePrefix="0" xfId="0">
      <alignment horizontal="general" vertical="bottom"/>
    </xf>
    <xf numFmtId="0" fontId="20" fillId="8" borderId="0" applyAlignment="1" pivotButton="0" quotePrefix="0" xfId="0">
      <alignment horizontal="center" vertical="bottom"/>
    </xf>
    <xf numFmtId="0" fontId="20" fillId="8" borderId="0" applyAlignment="1" pivotButton="0" quotePrefix="0" xfId="0">
      <alignment horizontal="right" vertical="bottom"/>
    </xf>
    <xf numFmtId="166" fontId="4" fillId="0" borderId="0" applyAlignment="1" pivotButton="0" quotePrefix="0" xfId="0">
      <alignment horizontal="general" vertical="bottom"/>
    </xf>
    <xf numFmtId="0" fontId="21" fillId="0" borderId="0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E7E6E6"/>
          <bgColor rgb="FF000000"/>
        </patternFill>
      </fill>
    </dxf>
    <dxf>
      <font>
        <color rgb="FFFFFFFF"/>
      </font>
    </dxf>
    <dxf>
      <fill>
        <patternFill patternType="solid">
          <fgColor rgb="FF5B9BD5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2CC"/>
      <rgbColor rgb="FFDAE3F3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CCFF"/>
      <rgbColor rgb="FFE7E6E6"/>
      <rgbColor rgb="FFCCFFCC"/>
      <rgbColor rgb="FFFFFF99"/>
      <rgbColor rgb="FF99CCFF"/>
      <rgbColor rgb="FFFF99CC"/>
      <rgbColor rgb="FFCC99FF"/>
      <rgbColor rgb="FFFFC7CE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44546A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Artigos por estrato Qualis</a:t>
            </a:r>
          </a:p>
        </rich>
      </tx>
      <overlay val="0"/>
      <spPr>
        <a:noFill/>
        <a:ln w="0">
          <a:noFill/>
          <a:prstDash val="solid"/>
        </a:ln>
      </spPr>
    </title>
    <plotArea>
      <barChart>
        <barDir val="col"/>
        <grouping val="stacked"/>
        <varyColors val="0"/>
        <ser>
          <idx val="0"/>
          <order val="0"/>
          <tx>
            <strRef>
              <f>Planejamento!$AB$3</f>
              <strCache>
                <ptCount val="1"/>
                <pt idx="0">
                  <v>Peródicos</v>
                </pt>
              </strCache>
            </strRef>
          </tx>
          <spPr>
            <a:solidFill>
              <a:srgbClr val="c00000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txPr>
            <dLblPos val="ctr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Planejamento!$AA$4:$AA$12</f>
              <strCache>
                <ptCount val="9"/>
                <pt idx="0">
                  <v>A1</v>
                </pt>
                <pt idx="1">
                  <v>A2</v>
                </pt>
                <pt idx="2">
                  <v>A3</v>
                </pt>
                <pt idx="3">
                  <v>A4</v>
                </pt>
                <pt idx="4">
                  <v>B1</v>
                </pt>
                <pt idx="5">
                  <v>B2</v>
                </pt>
                <pt idx="6">
                  <v>B3</v>
                </pt>
                <pt idx="7">
                  <v>B4</v>
                </pt>
                <pt idx="8">
                  <v>NA</v>
                </pt>
              </strCache>
            </strRef>
          </cat>
          <val>
            <numRef>
              <f>Planejamento!$AB$4:$AB$12</f>
              <numCache>
                <formatCode>General</formatCode>
                <ptCount val="9"/>
                <pt idx="0">
                  <v>2</v>
                </pt>
                <pt idx="1">
                  <v>4</v>
                </pt>
                <pt idx="2">
                  <v>1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1</v>
                </pt>
              </numCache>
            </numRef>
          </val>
        </ser>
        <ser>
          <idx val="1"/>
          <order val="1"/>
          <tx>
            <strRef>
              <f>Planejamento!$AC$3</f>
              <strCache>
                <ptCount val="1"/>
                <pt idx="0">
                  <v>Eventos</v>
                </pt>
              </strCache>
            </strRef>
          </tx>
          <spPr>
            <a:solidFill>
              <a:srgbClr val="4472c4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txPr>
            <dLblPos val="ctr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Planejamento!$AA$4:$AA$12</f>
              <strCache>
                <ptCount val="9"/>
                <pt idx="0">
                  <v>A1</v>
                </pt>
                <pt idx="1">
                  <v>A2</v>
                </pt>
                <pt idx="2">
                  <v>A3</v>
                </pt>
                <pt idx="3">
                  <v>A4</v>
                </pt>
                <pt idx="4">
                  <v>B1</v>
                </pt>
                <pt idx="5">
                  <v>B2</v>
                </pt>
                <pt idx="6">
                  <v>B3</v>
                </pt>
                <pt idx="7">
                  <v>B4</v>
                </pt>
                <pt idx="8">
                  <v>NA</v>
                </pt>
              </strCache>
            </strRef>
          </cat>
          <val>
            <numRef>
              <f>Planejamento!$AC$4:$AC$12</f>
              <numCache>
                <formatCode>General</formatCode>
                <ptCount val="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1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</numCache>
            </numRef>
          </val>
        </ser>
        <gapWidth val="150"/>
        <overlap val="100"/>
        <axId val="80843210"/>
        <axId val="43813898"/>
      </barChart>
      <catAx>
        <axId val="8084321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9360">
            <a:solidFill>
              <a:srgbClr val="d9d9d9"/>
            </a:solidFill>
            <a:prstDash val="solid"/>
            <a:round/>
          </a:ln>
        </spPr>
        <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r>
              <a:t/>
            </a:r>
          </a:p>
        </txPr>
        <crossAx val="43813898"/>
        <crosses val="autoZero"/>
        <auto val="1"/>
        <lblAlgn val="ctr"/>
        <lblOffset val="100"/>
        <noMultiLvlLbl val="0"/>
      </catAx>
      <valAx>
        <axId val="43813898"/>
        <scaling>
          <orientation val="minMax"/>
        </scaling>
        <delete val="0"/>
        <axPos val="l"/>
        <majorGridlines>
          <spPr>
            <a:ln w="9360">
              <a:solidFill>
                <a:srgbClr val="d9d9d9"/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ln w="648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r>
              <a:t/>
            </a:r>
          </a:p>
        </txPr>
        <crossAx val="80843210"/>
        <crosses val="autoZero"/>
        <crossBetween val="between"/>
      </valAx>
    </plotArea>
    <legend>
      <legendPos val="b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r>
            <a:t/>
          </a:r>
        </a:p>
      </txPr>
    </legend>
    <plotVisOnly val="1"/>
    <dispBlanksAs val="gap"/>
  </chart>
  <spPr>
    <a:solidFill>
      <a:srgbClr val="ffffff"/>
    </a:solidFill>
    <a:ln w="9360">
      <a:solidFill>
        <a:srgbClr val="d9d9d9"/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Artigos c/ discente por estrato Qualis</a:t>
            </a:r>
          </a:p>
        </rich>
      </tx>
      <overlay val="0"/>
      <spPr>
        <a:noFill/>
        <a:ln w="0">
          <a:noFill/>
          <a:prstDash val="solid"/>
        </a:ln>
      </spPr>
    </title>
    <plotArea>
      <barChart>
        <barDir val="col"/>
        <grouping val="stacked"/>
        <varyColors val="0"/>
        <ser>
          <idx val="0"/>
          <order val="0"/>
          <tx>
            <strRef>
              <f>Planejamento!$AB$3</f>
              <strCache>
                <ptCount val="1"/>
                <pt idx="0">
                  <v>Peródicos</v>
                </pt>
              </strCache>
            </strRef>
          </tx>
          <spPr>
            <a:solidFill>
              <a:srgbClr val="c00000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txPr>
            <dLblPos val="ctr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Planejamento!$AA$19:$AA$27</f>
              <strCache>
                <ptCount val="9"/>
                <pt idx="0">
                  <v>A1</v>
                </pt>
                <pt idx="1">
                  <v>A2</v>
                </pt>
                <pt idx="2">
                  <v>A3</v>
                </pt>
                <pt idx="3">
                  <v>A4</v>
                </pt>
                <pt idx="4">
                  <v>B1</v>
                </pt>
                <pt idx="5">
                  <v>B2</v>
                </pt>
                <pt idx="6">
                  <v>B3</v>
                </pt>
                <pt idx="7">
                  <v>B4</v>
                </pt>
                <pt idx="8">
                  <v>NA</v>
                </pt>
              </strCache>
            </strRef>
          </cat>
          <val>
            <numRef>
              <f>Planejamento!$AB$19:$AB$27</f>
              <numCache>
                <formatCode>General</formatCode>
                <ptCount val="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</numCache>
            </numRef>
          </val>
        </ser>
        <ser>
          <idx val="1"/>
          <order val="1"/>
          <tx>
            <strRef>
              <f>Planejamento!$AC$3</f>
              <strCache>
                <ptCount val="1"/>
                <pt idx="0">
                  <v>Eventos</v>
                </pt>
              </strCache>
            </strRef>
          </tx>
          <spPr>
            <a:solidFill>
              <a:srgbClr val="4472c4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txPr>
            <dLblPos val="ctr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Planejamento!$AA$19:$AA$27</f>
              <strCache>
                <ptCount val="9"/>
                <pt idx="0">
                  <v>A1</v>
                </pt>
                <pt idx="1">
                  <v>A2</v>
                </pt>
                <pt idx="2">
                  <v>A3</v>
                </pt>
                <pt idx="3">
                  <v>A4</v>
                </pt>
                <pt idx="4">
                  <v>B1</v>
                </pt>
                <pt idx="5">
                  <v>B2</v>
                </pt>
                <pt idx="6">
                  <v>B3</v>
                </pt>
                <pt idx="7">
                  <v>B4</v>
                </pt>
                <pt idx="8">
                  <v>NA</v>
                </pt>
              </strCache>
            </strRef>
          </cat>
          <val>
            <numRef>
              <f>Planejamento!$AC$19:$AC$27</f>
              <numCache>
                <formatCode>General</formatCode>
                <ptCount val="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</numCache>
            </numRef>
          </val>
        </ser>
        <gapWidth val="150"/>
        <overlap val="100"/>
        <axId val="11234877"/>
        <axId val="88212078"/>
      </barChart>
      <catAx>
        <axId val="1123487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9360">
            <a:solidFill>
              <a:srgbClr val="d9d9d9"/>
            </a:solidFill>
            <a:prstDash val="solid"/>
            <a:round/>
          </a:ln>
        </spPr>
        <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r>
              <a:t/>
            </a:r>
          </a:p>
        </txPr>
        <crossAx val="88212078"/>
        <crosses val="autoZero"/>
        <auto val="1"/>
        <lblAlgn val="ctr"/>
        <lblOffset val="100"/>
        <noMultiLvlLbl val="0"/>
      </catAx>
      <valAx>
        <axId val="88212078"/>
        <scaling>
          <orientation val="minMax"/>
          <max val="30"/>
        </scaling>
        <delete val="0"/>
        <axPos val="l"/>
        <majorGridlines>
          <spPr>
            <a:ln w="9360">
              <a:solidFill>
                <a:srgbClr val="d9d9d9"/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ln w="648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r>
              <a:t/>
            </a:r>
          </a:p>
        </txPr>
        <crossAx val="11234877"/>
        <crosses val="autoZero"/>
        <crossBetween val="between"/>
      </valAx>
    </plotArea>
    <legend>
      <legendPos val="b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r>
            <a:t/>
          </a:r>
        </a:p>
      </txPr>
    </legend>
    <plotVisOnly val="1"/>
    <dispBlanksAs val="gap"/>
  </chart>
  <spPr>
    <a:solidFill>
      <a:srgbClr val="ffffff"/>
    </a:solidFill>
    <a:ln w="9360">
      <a:solidFill>
        <a:srgbClr val="d9d9d9"/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Unknown Author</author>
  </authors>
  <commentList>
    <comment ref="I1" authorId="0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Fonte: https://www.scopus.com/sources.uri
- Buscar no campo "Title"
- Nos resultado da busca, consultar coluna "Highest Percentile"</t>
      </text>
    </comment>
    <comment ref="J1" authorId="0" shapeId="0">
      <text>
        <t>Eduardo Ogasawara:
https://ppgcc.github.io/discentesPPGCC/pt-BR/qualis/</t>
      </text>
    </comment>
  </commentList>
</comments>
</file>

<file path=xl/comments/comment2.xml><?xml version="1.0" encoding="utf-8"?>
<comments xmlns="http://schemas.openxmlformats.org/spreadsheetml/2006/main">
  <authors>
    <author>Unknown Author</author>
  </authors>
  <commentList>
    <comment ref="B10" authorId="0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são esses valores mesmo?</t>
      </text>
    </comment>
    <comment ref="D10" authorId="0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adicionei essa linha pq estava dando erro em fórmulas de LPeriodicos.
confirmar os valores que definir nessa linha.</t>
      </text>
    </comment>
    <comment ref="E10" authorId="0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Que valores preencher aqui?</t>
      </text>
    </comment>
    <comment ref="D11" authorId="0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O C antes estava associado com o valor 8</t>
      </text>
    </comment>
  </commentList>
</comments>
</file>

<file path=xl/comments/comment3.xml><?xml version="1.0" encoding="utf-8"?>
<comments xmlns="http://schemas.openxmlformats.org/spreadsheetml/2006/main">
  <authors>
    <author>Unknown Author</author>
  </authors>
  <commentList>
    <comment ref="C2" authorId="0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atualizar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29</col>
      <colOff>428760</colOff>
      <row>1</row>
      <rowOff>84240</rowOff>
    </from>
    <to>
      <col>34</col>
      <colOff>781200</colOff>
      <row>14</row>
      <rowOff>172440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29</col>
      <colOff>380880</colOff>
      <row>15</row>
      <rowOff>136080</rowOff>
    </from>
    <to>
      <col>34</col>
      <colOff>733320</colOff>
      <row>29</row>
      <rowOff>20520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hyperlink" Target="https://scholar.google.com.br/citations?user=pBQVTUkAAAAJ" TargetMode="External" Id="rId1" /><Relationship Type="http://schemas.openxmlformats.org/officeDocument/2006/relationships/hyperlink" Target="https://scholar.google.com/citations?user=bwkYcu4AAAAJ&amp;hl=pt-BR" TargetMode="External" Id="rId2" /><Relationship Type="http://schemas.openxmlformats.org/officeDocument/2006/relationships/hyperlink" Target="https://scholar.google.com.br/citations?user=WQflRMIAAAAJ" TargetMode="External" Id="rId3" /><Relationship Type="http://schemas.openxmlformats.org/officeDocument/2006/relationships/hyperlink" Target="https://scholar.google.com.br/citations?user=uloLWtgAAAAJ" TargetMode="External" Id="rId4" /><Relationship Type="http://schemas.openxmlformats.org/officeDocument/2006/relationships/hyperlink" Target="https://scholar.google.com.br/citations?user=kJT37q4AAAAJ" TargetMode="External" Id="rId5" /><Relationship Type="http://schemas.openxmlformats.org/officeDocument/2006/relationships/hyperlink" Target="https://scholar.google.com/citations?user=pNL2V2sAAAAJ" TargetMode="External" Id="rId6" /><Relationship Type="http://schemas.openxmlformats.org/officeDocument/2006/relationships/hyperlink" Target="https://scholar.google.com.br/citations?user=nZfS3qoAAAAJ" TargetMode="External" Id="rId7" /><Relationship Type="http://schemas.openxmlformats.org/officeDocument/2006/relationships/hyperlink" Target="https://scholar.google.com.br/citations?user=4AwT7X8AAAAJ" TargetMode="External" Id="rId8" /><Relationship Type="http://schemas.openxmlformats.org/officeDocument/2006/relationships/hyperlink" Target="https://scholar.google.com.br/citations?user=fYjzAYMAAAAJ" TargetMode="External" Id="rId9" /><Relationship Type="http://schemas.openxmlformats.org/officeDocument/2006/relationships/hyperlink" Target="https://scholar.google.com.br/citations?user=nz-6EN4AAAAJ" TargetMode="External" Id="rId10" /><Relationship Type="http://schemas.openxmlformats.org/officeDocument/2006/relationships/hyperlink" Target="https://scholar.google.com.br/citations?user=Fc2hY1AAAAAJ" TargetMode="External" Id="rId11" /><Relationship Type="http://schemas.openxmlformats.org/officeDocument/2006/relationships/hyperlink" Target="https://scholar.google.com.br/citations?user=IA70H1UAAAAJ" TargetMode="External" Id="rId12" /><Relationship Type="http://schemas.openxmlformats.org/officeDocument/2006/relationships/hyperlink" Target="https://scholar.google.com.br/citations?user=XF-fXTAAAAAJ" TargetMode="External" Id="rId13" /><Relationship Type="http://schemas.openxmlformats.org/officeDocument/2006/relationships/hyperlink" Target="https://scholar.google.com.br/citations?user=KLgK4c4AAAAJ" TargetMode="External" Id="rId14" /><Relationship Type="http://schemas.openxmlformats.org/officeDocument/2006/relationships/hyperlink" Target="https://www.scopus.com/authid/detail.uri?authorId=32867459900" TargetMode="External" Id="rId15" /><Relationship Type="http://schemas.openxmlformats.org/officeDocument/2006/relationships/hyperlink" Target="https://www.scopus.com/authid/detail.uri?authorId=57205767413" TargetMode="External" Id="rId16" /><Relationship Type="http://schemas.openxmlformats.org/officeDocument/2006/relationships/hyperlink" Target="https://www.scopus.com/authid/detail.uri?authorId=6506097045" TargetMode="External" Id="rId17" /><Relationship Type="http://schemas.openxmlformats.org/officeDocument/2006/relationships/hyperlink" Target="https://www.scopus.com/authid/detail.uri?authorId=33368211600" TargetMode="External" Id="rId18" /><Relationship Type="http://schemas.openxmlformats.org/officeDocument/2006/relationships/hyperlink" Target="https://www.scopus.com/authid/detail.uri?authorId=55953969800" TargetMode="External" Id="rId19" /><Relationship Type="http://schemas.openxmlformats.org/officeDocument/2006/relationships/hyperlink" Target="https://www.scopus.com/authid/detail.uri?authorId=57204646715" TargetMode="External" Id="rId20" /><Relationship Type="http://schemas.openxmlformats.org/officeDocument/2006/relationships/hyperlink" Target="https://www.scopus.com/authid/detail.uri?authorId=57076135000" TargetMode="External" Id="rId21" /><Relationship Type="http://schemas.openxmlformats.org/officeDocument/2006/relationships/hyperlink" Target="https://www.scopus.com/authid/detail.uri?authorId=56119522800" TargetMode="External" Id="rId22" /><Relationship Type="http://schemas.openxmlformats.org/officeDocument/2006/relationships/hyperlink" Target="https://www.scopus.com/authid/detail.uri?authorId=36175635600" TargetMode="External" Id="rId23" /><Relationship Type="http://schemas.openxmlformats.org/officeDocument/2006/relationships/hyperlink" Target="https://www.scopus.com/authid/detail.uri?authorId=56121141300" TargetMode="External" Id="rId24" /><Relationship Type="http://schemas.openxmlformats.org/officeDocument/2006/relationships/hyperlink" Target="https://www.scopus.com/authid/detail.uri?authorId=56019958100" TargetMode="External" Id="rId25" /><Relationship Type="http://schemas.openxmlformats.org/officeDocument/2006/relationships/hyperlink" Target="https://www.scopus.com/authid/detail.uri?authorId=6603959869" TargetMode="External" Id="rId26" /><Relationship Type="http://schemas.openxmlformats.org/officeDocument/2006/relationships/hyperlink" Target="https://www.scopus.com/authid/detail.uri?authorId=15753781000" TargetMode="External" Id="rId27" /><Relationship Type="http://schemas.openxmlformats.org/officeDocument/2006/relationships/hyperlink" Target="https://www.scopus.com/authid/detail.uri?authorId=56160998600" TargetMode="External" Id="rId28" /><Relationship Type="http://schemas.openxmlformats.org/officeDocument/2006/relationships/hyperlink" Target="http://www.researcherid.com/rid/P-4281-2016" TargetMode="External" Id="rId29" /><Relationship Type="http://schemas.openxmlformats.org/officeDocument/2006/relationships/hyperlink" Target="https://publons.com/researcher/5118168/diogo-silveira-mendonca" TargetMode="External" Id="rId30" /><Relationship Type="http://schemas.openxmlformats.org/officeDocument/2006/relationships/hyperlink" Target="http://www.researcherid.com/rid/H-2402-2018" TargetMode="External" Id="rId31" /><Relationship Type="http://schemas.openxmlformats.org/officeDocument/2006/relationships/hyperlink" Target="http://www.researcherid.com/rid/N-6438-2014" TargetMode="External" Id="rId32" /><Relationship Type="http://schemas.openxmlformats.org/officeDocument/2006/relationships/hyperlink" Target="http://www.researcherid.com/rid/AAC-4169-2019" TargetMode="External" Id="rId33" /><Relationship Type="http://schemas.openxmlformats.org/officeDocument/2006/relationships/hyperlink" Target="https://publons.com/researcher/V-2663-2018/" TargetMode="External" Id="rId34" /><Relationship Type="http://schemas.openxmlformats.org/officeDocument/2006/relationships/hyperlink" Target="http://www.researcherid.com/rid/H-3227-2018" TargetMode="External" Id="rId35" /><Relationship Type="http://schemas.openxmlformats.org/officeDocument/2006/relationships/hyperlink" Target="http://www.researcherid.com/rid/O-8069-2016" TargetMode="External" Id="rId36" /><Relationship Type="http://schemas.openxmlformats.org/officeDocument/2006/relationships/hyperlink" Target="http://www.researcherid.com/rid/O-6246-2016" TargetMode="External" Id="rId37" /><Relationship Type="http://schemas.openxmlformats.org/officeDocument/2006/relationships/hyperlink" Target="http://www.researcherid.com/rid/A-5553-2018" TargetMode="External" Id="rId38" /><Relationship Type="http://schemas.openxmlformats.org/officeDocument/2006/relationships/hyperlink" Target="http://www.researcherid.com/rid/H-3218-2018" TargetMode="External" Id="rId39" /><Relationship Type="http://schemas.openxmlformats.org/officeDocument/2006/relationships/hyperlink" Target="http://www.researcherid.com/rid/O-3981-2018" TargetMode="External" Id="rId40" /><Relationship Type="http://schemas.openxmlformats.org/officeDocument/2006/relationships/hyperlink" Target="http://www.researcherid.com/rid/F-6102-2015" TargetMode="External" Id="rId41" /><Relationship Type="http://schemas.openxmlformats.org/officeDocument/2006/relationships/hyperlink" Target="http://www.researcherid.com/rid/Q-4514-2017" TargetMode="External" Id="rId42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B2:AC40"/>
  <sheetViews>
    <sheetView showFormulas="0" showGridLines="1" showRowColHeaders="1" showZeros="1" rightToLeft="0" tabSelected="0" showOutlineSymbols="1" defaultGridColor="1" view="normal" topLeftCell="I1" colorId="64" zoomScale="100" zoomScaleNormal="100" zoomScalePageLayoutView="100" workbookViewId="0">
      <selection pane="topLeft" activeCell="O33" activeCellId="0" sqref="O33"/>
    </sheetView>
  </sheetViews>
  <sheetFormatPr baseColWidth="8" defaultColWidth="10.87890625" defaultRowHeight="15.75" zeroHeight="0" outlineLevelRow="0"/>
  <cols>
    <col width="10.88" customWidth="1" style="143" min="1" max="16384"/>
  </cols>
  <sheetData>
    <row r="2" ht="15.75" customHeight="1" s="144">
      <c r="C2" s="145" t="inlineStr">
        <is>
          <t>TOTAL</t>
        </is>
      </c>
      <c r="D2" s="146" t="n"/>
      <c r="E2" s="145" t="n">
        <v>2021</v>
      </c>
      <c r="F2" s="146" t="n"/>
      <c r="G2" s="145" t="n">
        <v>2022</v>
      </c>
      <c r="H2" s="146" t="n"/>
      <c r="I2" s="145" t="n">
        <v>2023</v>
      </c>
      <c r="J2" s="146" t="n"/>
      <c r="K2" s="145" t="n">
        <v>2024</v>
      </c>
      <c r="L2" s="146" t="n"/>
      <c r="O2" s="145" t="inlineStr">
        <is>
          <t>TOTAL</t>
        </is>
      </c>
      <c r="P2" s="146" t="n"/>
      <c r="Q2" s="145" t="n">
        <v>2021</v>
      </c>
      <c r="R2" s="146" t="n"/>
      <c r="S2" s="145" t="n">
        <v>2022</v>
      </c>
      <c r="T2" s="146" t="n"/>
      <c r="U2" s="145" t="n">
        <v>2023</v>
      </c>
      <c r="V2" s="146" t="n"/>
      <c r="W2" s="145" t="n">
        <v>2024</v>
      </c>
      <c r="X2" s="146" t="n"/>
    </row>
    <row r="3" ht="15.75" customHeight="1" s="144">
      <c r="B3" s="147" t="n"/>
      <c r="C3" s="145" t="inlineStr">
        <is>
          <t>CONF</t>
        </is>
      </c>
      <c r="D3" s="145" t="inlineStr">
        <is>
          <t>COM/DISC</t>
        </is>
      </c>
      <c r="E3" s="145" t="inlineStr">
        <is>
          <t>CONF</t>
        </is>
      </c>
      <c r="F3" s="145" t="inlineStr">
        <is>
          <t>COM/DISC</t>
        </is>
      </c>
      <c r="G3" s="145" t="inlineStr">
        <is>
          <t>CONF</t>
        </is>
      </c>
      <c r="H3" s="145" t="inlineStr">
        <is>
          <t>COM/DISC</t>
        </is>
      </c>
      <c r="I3" s="145" t="inlineStr">
        <is>
          <t>CONF</t>
        </is>
      </c>
      <c r="J3" s="145" t="inlineStr">
        <is>
          <t>COM/DISC</t>
        </is>
      </c>
      <c r="K3" s="145" t="inlineStr">
        <is>
          <t>CONF</t>
        </is>
      </c>
      <c r="L3" s="145" t="inlineStr">
        <is>
          <t>COM/DISC</t>
        </is>
      </c>
      <c r="N3" s="147" t="n"/>
      <c r="O3" s="145" t="inlineStr">
        <is>
          <t>PER</t>
        </is>
      </c>
      <c r="P3" s="145" t="inlineStr">
        <is>
          <t>COM/DISC</t>
        </is>
      </c>
      <c r="Q3" s="145" t="inlineStr">
        <is>
          <t>PER</t>
        </is>
      </c>
      <c r="R3" s="145" t="inlineStr">
        <is>
          <t>COM/DISC</t>
        </is>
      </c>
      <c r="S3" s="145" t="inlineStr">
        <is>
          <t>PER</t>
        </is>
      </c>
      <c r="T3" s="145" t="inlineStr">
        <is>
          <t>COM/DISC</t>
        </is>
      </c>
      <c r="U3" s="145" t="inlineStr">
        <is>
          <t>PER</t>
        </is>
      </c>
      <c r="V3" s="145" t="inlineStr">
        <is>
          <t>COM/DISC</t>
        </is>
      </c>
      <c r="W3" s="145" t="inlineStr">
        <is>
          <t>PER</t>
        </is>
      </c>
      <c r="X3" s="145" t="inlineStr">
        <is>
          <t>COM/DISC</t>
        </is>
      </c>
      <c r="AA3" s="147" t="n"/>
      <c r="AB3" s="145" t="inlineStr">
        <is>
          <t>Peródicos</t>
        </is>
      </c>
      <c r="AC3" s="145" t="inlineStr">
        <is>
          <t>Eventos</t>
        </is>
      </c>
    </row>
    <row r="4" ht="15.75" customHeight="1" s="144">
      <c r="B4" s="148" t="inlineStr">
        <is>
          <t>A1</t>
        </is>
      </c>
      <c r="C4" s="148">
        <f>COUNTIF(Conferencias!$F:$F,$B4)</f>
        <v/>
      </c>
      <c r="D4" s="148">
        <f>COUNTIFS(Conferencias!$F:$F,$B4,Conferencias!$I:$I,1)</f>
        <v/>
      </c>
      <c r="E4" s="148">
        <f>COUNTIFS(Conferencias!$F:$F,$B4,Conferencias!$A:$A,$E$2)</f>
        <v/>
      </c>
      <c r="F4" s="148">
        <f>COUNTIFS(Conferencias!$F:$F,$B4,Conferencias!$I:$I,1,Conferencias!$A:$A,$E$2)</f>
        <v/>
      </c>
      <c r="G4" s="148">
        <f>COUNTIFS(Conferencias!$F:$F,$B4,Conferencias!$A:$A,G$2)</f>
        <v/>
      </c>
      <c r="H4" s="148">
        <f>COUNTIFS(Conferencias!$F:$F,$B4,Conferencias!$I:$I,1,Conferencias!$A:$A,G$2)</f>
        <v/>
      </c>
      <c r="I4" s="148">
        <f>COUNTIFS(Conferencias!$F:$F,$B4,Conferencias!$A:$A,I$2)</f>
        <v/>
      </c>
      <c r="J4" s="148">
        <f>COUNTIFS(Conferencias!$F:$F,$B4,Conferencias!$I:$I,1,Conferencias!$A:$A,I$2)</f>
        <v/>
      </c>
      <c r="K4" s="148">
        <f>COUNTIFS(Conferencias!$F:$F,$B4,Conferencias!$A:$A,K$2)</f>
        <v/>
      </c>
      <c r="L4" s="148">
        <f>COUNTIFS(Conferencias!$F:$F,$B4,Conferencias!$I:$I,1,Conferencias!$A:$A,K$2)</f>
        <v/>
      </c>
      <c r="N4" s="148" t="inlineStr">
        <is>
          <t>A1</t>
        </is>
      </c>
      <c r="O4" s="149">
        <f>COUNTIF(Periodicos!$F:$F,$N4)</f>
        <v/>
      </c>
      <c r="P4" s="149">
        <f>COUNTIFS(Periodicos!$F:$F,$N4,Periodicos!$I:$I,1)</f>
        <v/>
      </c>
      <c r="Q4" s="149">
        <f>COUNTIFS(Periodicos!$F:$F,$N4,Periodicos!$A:$A,Q$2)</f>
        <v/>
      </c>
      <c r="R4" s="149">
        <f>COUNTIFS(Periodicos!$F:$F,$N4,Periodicos!$I:$I,1,Periodicos!$A:$A,Q$2)</f>
        <v/>
      </c>
      <c r="S4" s="149">
        <f>COUNTIFS(Periodicos!$F:$F,$N4,Periodicos!$A:$A,S$2)</f>
        <v/>
      </c>
      <c r="T4" s="149">
        <f>COUNTIFS(Periodicos!$F:$F,$N4,Periodicos!$I:$I,1,Periodicos!$A:$A,S$2)</f>
        <v/>
      </c>
      <c r="U4" s="149">
        <f>COUNTIFS(Periodicos!$F:$F,$N4,Periodicos!$A:$A,U$2)</f>
        <v/>
      </c>
      <c r="V4" s="149">
        <f>COUNTIFS(Periodicos!$F:$F,$N4,Periodicos!$I:$I,1,Periodicos!$A:$A,U$2)</f>
        <v/>
      </c>
      <c r="W4" s="149">
        <f>COUNTIFS(Periodicos!$F:$F,$N4,Periodicos!$A:$A,W$2)</f>
        <v/>
      </c>
      <c r="X4" s="149">
        <f>COUNTIFS(Periodicos!$F:$F,$N4,Periodicos!$I:$I,1,Periodicos!$A:$A,W$2)</f>
        <v/>
      </c>
      <c r="AA4" s="149" t="inlineStr">
        <is>
          <t>A1</t>
        </is>
      </c>
      <c r="AB4" s="149">
        <f>O4</f>
        <v/>
      </c>
      <c r="AC4" s="149">
        <f>C4</f>
        <v/>
      </c>
    </row>
    <row r="5" ht="15.75" customHeight="1" s="144">
      <c r="B5" s="148" t="inlineStr">
        <is>
          <t>A2</t>
        </is>
      </c>
      <c r="C5" s="148">
        <f>COUNTIF(Conferencias!$F:$F,$B5)</f>
        <v/>
      </c>
      <c r="D5" s="148">
        <f>COUNTIFS(Conferencias!$F:$F,$B5,Conferencias!$I:$I,1)</f>
        <v/>
      </c>
      <c r="E5" s="148">
        <f>COUNTIFS(Conferencias!$F:$F,$B5,Conferencias!$A:$A,$E$2)</f>
        <v/>
      </c>
      <c r="F5" s="148">
        <f>COUNTIFS(Conferencias!$F:$F,$B5,Conferencias!$I:$I,1,Conferencias!$A:$A,$E$2)</f>
        <v/>
      </c>
      <c r="G5" s="148">
        <f>COUNTIFS(Conferencias!$F:$F,$B5,Conferencias!$A:$A,G$2)</f>
        <v/>
      </c>
      <c r="H5" s="148">
        <f>COUNTIFS(Conferencias!$F:$F,$B5,Conferencias!$I:$I,1,Conferencias!$A:$A,G$2)</f>
        <v/>
      </c>
      <c r="I5" s="148">
        <f>COUNTIFS(Conferencias!$F:$F,$B5,Conferencias!$A:$A,I$2)</f>
        <v/>
      </c>
      <c r="J5" s="148">
        <f>COUNTIFS(Conferencias!$F:$F,$B5,Conferencias!$I:$I,1,Conferencias!$A:$A,I$2)</f>
        <v/>
      </c>
      <c r="K5" s="148">
        <f>COUNTIFS(Conferencias!$F:$F,$B5,Conferencias!$A:$A,K$2)</f>
        <v/>
      </c>
      <c r="L5" s="148">
        <f>COUNTIFS(Conferencias!$F:$F,$B5,Conferencias!$I:$I,1,Conferencias!$A:$A,K$2)</f>
        <v/>
      </c>
      <c r="N5" s="148" t="inlineStr">
        <is>
          <t>A2</t>
        </is>
      </c>
      <c r="O5" s="149">
        <f>COUNTIF(Periodicos!$F:$F,$N5)</f>
        <v/>
      </c>
      <c r="P5" s="149">
        <f>COUNTIFS(Periodicos!$F:$F,$N5,Periodicos!$I:$I,1)</f>
        <v/>
      </c>
      <c r="Q5" s="149">
        <f>COUNTIFS(Periodicos!$F:$F,$N5,Periodicos!$A:$A,Q$2)</f>
        <v/>
      </c>
      <c r="R5" s="149">
        <f>COUNTIFS(Periodicos!$F:$F,$N5,Periodicos!$I:$I,1,Periodicos!$A:$A,Q$2)</f>
        <v/>
      </c>
      <c r="S5" s="149">
        <f>COUNTIFS(Periodicos!$F:$F,$N5,Periodicos!$A:$A,S$2)</f>
        <v/>
      </c>
      <c r="T5" s="149">
        <f>COUNTIFS(Periodicos!$F:$F,$N5,Periodicos!$I:$I,1,Periodicos!$A:$A,S$2)</f>
        <v/>
      </c>
      <c r="U5" s="149">
        <f>COUNTIFS(Periodicos!$F:$F,$N5,Periodicos!$A:$A,U$2)</f>
        <v/>
      </c>
      <c r="V5" s="149">
        <f>COUNTIFS(Periodicos!$F:$F,$N5,Periodicos!$I:$I,1,Periodicos!$A:$A,U$2)</f>
        <v/>
      </c>
      <c r="W5" s="149">
        <f>COUNTIFS(Periodicos!$F:$F,$N5,Periodicos!$A:$A,W$2)</f>
        <v/>
      </c>
      <c r="X5" s="149">
        <f>COUNTIFS(Periodicos!$F:$F,$N5,Periodicos!$I:$I,1,Periodicos!$A:$A,W$2)</f>
        <v/>
      </c>
      <c r="AA5" s="149" t="inlineStr">
        <is>
          <t>A2</t>
        </is>
      </c>
      <c r="AB5" s="149">
        <f>O5</f>
        <v/>
      </c>
      <c r="AC5" s="149">
        <f>C5</f>
        <v/>
      </c>
    </row>
    <row r="6" ht="15.75" customHeight="1" s="144">
      <c r="B6" s="148" t="inlineStr">
        <is>
          <t>A3</t>
        </is>
      </c>
      <c r="C6" s="148">
        <f>COUNTIF(Conferencias!$F:$F,$B6)</f>
        <v/>
      </c>
      <c r="D6" s="148">
        <f>COUNTIFS(Conferencias!$F:$F,$B6,Conferencias!$I:$I,1)</f>
        <v/>
      </c>
      <c r="E6" s="148">
        <f>COUNTIFS(Conferencias!$F:$F,$B6,Conferencias!$A:$A,$E$2)</f>
        <v/>
      </c>
      <c r="F6" s="148">
        <f>COUNTIFS(Conferencias!$F:$F,$B6,Conferencias!$I:$I,1,Conferencias!$A:$A,$E$2)</f>
        <v/>
      </c>
      <c r="G6" s="148">
        <f>COUNTIFS(Conferencias!$F:$F,$B6,Conferencias!$A:$A,G$2)</f>
        <v/>
      </c>
      <c r="H6" s="148">
        <f>COUNTIFS(Conferencias!$F:$F,$B6,Conferencias!$I:$I,1,Conferencias!$A:$A,G$2)</f>
        <v/>
      </c>
      <c r="I6" s="148">
        <f>COUNTIFS(Conferencias!$F:$F,$B6,Conferencias!$A:$A,I$2)</f>
        <v/>
      </c>
      <c r="J6" s="148">
        <f>COUNTIFS(Conferencias!$F:$F,$B6,Conferencias!$I:$I,1,Conferencias!$A:$A,I$2)</f>
        <v/>
      </c>
      <c r="K6" s="148">
        <f>COUNTIFS(Conferencias!$F:$F,$B6,Conferencias!$A:$A,K$2)</f>
        <v/>
      </c>
      <c r="L6" s="148">
        <f>COUNTIFS(Conferencias!$F:$F,$B6,Conferencias!$I:$I,1,Conferencias!$A:$A,K$2)</f>
        <v/>
      </c>
      <c r="N6" s="148" t="inlineStr">
        <is>
          <t>A3</t>
        </is>
      </c>
      <c r="O6" s="149">
        <f>COUNTIF(Periodicos!$F:$F,$N6)</f>
        <v/>
      </c>
      <c r="P6" s="149">
        <f>COUNTIFS(Periodicos!$F:$F,$N6,Periodicos!$I:$I,1)</f>
        <v/>
      </c>
      <c r="Q6" s="149">
        <f>COUNTIFS(Periodicos!$F:$F,$N6,Periodicos!$A:$A,Q$2)</f>
        <v/>
      </c>
      <c r="R6" s="149">
        <f>COUNTIFS(Periodicos!$F:$F,$N6,Periodicos!$I:$I,1,Periodicos!$A:$A,Q$2)</f>
        <v/>
      </c>
      <c r="S6" s="149">
        <f>COUNTIFS(Periodicos!$F:$F,$N6,Periodicos!$A:$A,S$2)</f>
        <v/>
      </c>
      <c r="T6" s="149">
        <f>COUNTIFS(Periodicos!$F:$F,$N6,Periodicos!$I:$I,1,Periodicos!$A:$A,S$2)</f>
        <v/>
      </c>
      <c r="U6" s="149">
        <f>COUNTIFS(Periodicos!$F:$F,$N6,Periodicos!$A:$A,U$2)</f>
        <v/>
      </c>
      <c r="V6" s="149">
        <f>COUNTIFS(Periodicos!$F:$F,$N6,Periodicos!$I:$I,1,Periodicos!$A:$A,U$2)</f>
        <v/>
      </c>
      <c r="W6" s="149">
        <f>COUNTIFS(Periodicos!$F:$F,$N6,Periodicos!$A:$A,W$2)</f>
        <v/>
      </c>
      <c r="X6" s="149">
        <f>COUNTIFS(Periodicos!$F:$F,$N6,Periodicos!$I:$I,1,Periodicos!$A:$A,W$2)</f>
        <v/>
      </c>
      <c r="AA6" s="149" t="inlineStr">
        <is>
          <t>A3</t>
        </is>
      </c>
      <c r="AB6" s="149">
        <f>O6</f>
        <v/>
      </c>
      <c r="AC6" s="149">
        <f>C6</f>
        <v/>
      </c>
    </row>
    <row r="7" ht="15.75" customHeight="1" s="144">
      <c r="B7" s="148" t="inlineStr">
        <is>
          <t>A4</t>
        </is>
      </c>
      <c r="C7" s="148">
        <f>COUNTIF(Conferencias!$F:$F,$B7)</f>
        <v/>
      </c>
      <c r="D7" s="148">
        <f>COUNTIFS(Conferencias!$F:$F,$B7,Conferencias!$I:$I,1)</f>
        <v/>
      </c>
      <c r="E7" s="148">
        <f>COUNTIFS(Conferencias!$F:$F,$B7,Conferencias!$A:$A,$E$2)</f>
        <v/>
      </c>
      <c r="F7" s="148">
        <f>COUNTIFS(Conferencias!$F:$F,$B7,Conferencias!$I:$I,1,Conferencias!$A:$A,$E$2)</f>
        <v/>
      </c>
      <c r="G7" s="148">
        <f>COUNTIFS(Conferencias!$F:$F,$B7,Conferencias!$A:$A,G$2)</f>
        <v/>
      </c>
      <c r="H7" s="148">
        <f>COUNTIFS(Conferencias!$F:$F,$B7,Conferencias!$I:$I,1,Conferencias!$A:$A,G$2)</f>
        <v/>
      </c>
      <c r="I7" s="148">
        <f>COUNTIFS(Conferencias!$F:$F,$B7,Conferencias!$A:$A,I$2)</f>
        <v/>
      </c>
      <c r="J7" s="148">
        <f>COUNTIFS(Conferencias!$F:$F,$B7,Conferencias!$I:$I,1,Conferencias!$A:$A,I$2)</f>
        <v/>
      </c>
      <c r="K7" s="148">
        <f>COUNTIFS(Conferencias!$F:$F,$B7,Conferencias!$A:$A,K$2)</f>
        <v/>
      </c>
      <c r="L7" s="148">
        <f>COUNTIFS(Conferencias!$F:$F,$B7,Conferencias!$I:$I,1,Conferencias!$A:$A,K$2)</f>
        <v/>
      </c>
      <c r="N7" s="148" t="inlineStr">
        <is>
          <t>A4</t>
        </is>
      </c>
      <c r="O7" s="149">
        <f>COUNTIF(Periodicos!$F:$F,$N7)</f>
        <v/>
      </c>
      <c r="P7" s="149">
        <f>COUNTIFS(Periodicos!$F:$F,$N7,Periodicos!$I:$I,1)</f>
        <v/>
      </c>
      <c r="Q7" s="149">
        <f>COUNTIFS(Periodicos!$F:$F,$N7,Periodicos!$A:$A,Q$2)</f>
        <v/>
      </c>
      <c r="R7" s="149">
        <f>COUNTIFS(Periodicos!$F:$F,$N7,Periodicos!$I:$I,1,Periodicos!$A:$A,Q$2)</f>
        <v/>
      </c>
      <c r="S7" s="149">
        <f>COUNTIFS(Periodicos!$F:$F,$N7,Periodicos!$A:$A,S$2)</f>
        <v/>
      </c>
      <c r="T7" s="149">
        <f>COUNTIFS(Periodicos!$F:$F,$N7,Periodicos!$I:$I,1,Periodicos!$A:$A,S$2)</f>
        <v/>
      </c>
      <c r="U7" s="149">
        <f>COUNTIFS(Periodicos!$F:$F,$N7,Periodicos!$A:$A,U$2)</f>
        <v/>
      </c>
      <c r="V7" s="149">
        <f>COUNTIFS(Periodicos!$F:$F,$N7,Periodicos!$I:$I,1,Periodicos!$A:$A,U$2)</f>
        <v/>
      </c>
      <c r="W7" s="149">
        <f>COUNTIFS(Periodicos!$F:$F,$N7,Periodicos!$A:$A,W$2)</f>
        <v/>
      </c>
      <c r="X7" s="149">
        <f>COUNTIFS(Periodicos!$F:$F,$N7,Periodicos!$I:$I,1,Periodicos!$A:$A,W$2)</f>
        <v/>
      </c>
      <c r="AA7" s="149" t="inlineStr">
        <is>
          <t>A4</t>
        </is>
      </c>
      <c r="AB7" s="149">
        <f>O7</f>
        <v/>
      </c>
      <c r="AC7" s="149">
        <f>C7</f>
        <v/>
      </c>
    </row>
    <row r="8" ht="15.75" customHeight="1" s="144">
      <c r="B8" s="148" t="inlineStr">
        <is>
          <t>B1</t>
        </is>
      </c>
      <c r="C8" s="148">
        <f>COUNTIF(Conferencias!$F:$F,$B8)</f>
        <v/>
      </c>
      <c r="D8" s="148">
        <f>COUNTIFS(Conferencias!$F:$F,$B8,Conferencias!$I:$I,1)</f>
        <v/>
      </c>
      <c r="E8" s="148">
        <f>COUNTIFS(Conferencias!$F:$F,$B8,Conferencias!$A:$A,$E$2)</f>
        <v/>
      </c>
      <c r="F8" s="148">
        <f>COUNTIFS(Conferencias!$F:$F,$B8,Conferencias!$I:$I,1,Conferencias!$A:$A,$E$2)</f>
        <v/>
      </c>
      <c r="G8" s="148">
        <f>COUNTIFS(Conferencias!$F:$F,$B8,Conferencias!$A:$A,G$2)</f>
        <v/>
      </c>
      <c r="H8" s="148">
        <f>COUNTIFS(Conferencias!$F:$F,$B8,Conferencias!$I:$I,1,Conferencias!$A:$A,G$2)</f>
        <v/>
      </c>
      <c r="I8" s="148">
        <f>COUNTIFS(Conferencias!$F:$F,$B8,Conferencias!$A:$A,I$2)</f>
        <v/>
      </c>
      <c r="J8" s="148">
        <f>COUNTIFS(Conferencias!$F:$F,$B8,Conferencias!$I:$I,1,Conferencias!$A:$A,I$2)</f>
        <v/>
      </c>
      <c r="K8" s="148">
        <f>COUNTIFS(Conferencias!$F:$F,$B8,Conferencias!$A:$A,K$2)</f>
        <v/>
      </c>
      <c r="L8" s="148">
        <f>COUNTIFS(Conferencias!$F:$F,$B8,Conferencias!$I:$I,1,Conferencias!$A:$A,K$2)</f>
        <v/>
      </c>
      <c r="N8" s="148" t="inlineStr">
        <is>
          <t>B1</t>
        </is>
      </c>
      <c r="O8" s="149">
        <f>COUNTIF(Periodicos!$F:$F,$N8)</f>
        <v/>
      </c>
      <c r="P8" s="149">
        <f>COUNTIFS(Periodicos!$F:$F,$N8,Periodicos!$I:$I,1)</f>
        <v/>
      </c>
      <c r="Q8" s="149">
        <f>COUNTIFS(Periodicos!$F:$F,$N8,Periodicos!$A:$A,Q$2)</f>
        <v/>
      </c>
      <c r="R8" s="149">
        <f>COUNTIFS(Periodicos!$F:$F,$N8,Periodicos!$I:$I,1,Periodicos!$A:$A,Q$2)</f>
        <v/>
      </c>
      <c r="S8" s="149">
        <f>COUNTIFS(Periodicos!$F:$F,$N8,Periodicos!$A:$A,S$2)</f>
        <v/>
      </c>
      <c r="T8" s="149">
        <f>COUNTIFS(Periodicos!$F:$F,$N8,Periodicos!$I:$I,1,Periodicos!$A:$A,S$2)</f>
        <v/>
      </c>
      <c r="U8" s="149">
        <f>COUNTIFS(Periodicos!$F:$F,$N8,Periodicos!$A:$A,U$2)</f>
        <v/>
      </c>
      <c r="V8" s="149">
        <f>COUNTIFS(Periodicos!$F:$F,$N8,Periodicos!$I:$I,1,Periodicos!$A:$A,U$2)</f>
        <v/>
      </c>
      <c r="W8" s="149">
        <f>COUNTIFS(Periodicos!$F:$F,$N8,Periodicos!$A:$A,W$2)</f>
        <v/>
      </c>
      <c r="X8" s="149">
        <f>COUNTIFS(Periodicos!$F:$F,$N8,Periodicos!$I:$I,1,Periodicos!$A:$A,W$2)</f>
        <v/>
      </c>
      <c r="AA8" s="149" t="inlineStr">
        <is>
          <t>B1</t>
        </is>
      </c>
      <c r="AB8" s="149">
        <f>O8</f>
        <v/>
      </c>
      <c r="AC8" s="149">
        <f>C8</f>
        <v/>
      </c>
    </row>
    <row r="9" ht="15.75" customHeight="1" s="144">
      <c r="B9" s="148" t="inlineStr">
        <is>
          <t>B2</t>
        </is>
      </c>
      <c r="C9" s="148">
        <f>COUNTIF(Conferencias!$F:$F,$B9)</f>
        <v/>
      </c>
      <c r="D9" s="148">
        <f>COUNTIFS(Conferencias!$F:$F,$B9,Conferencias!$I:$I,1)</f>
        <v/>
      </c>
      <c r="E9" s="148">
        <f>COUNTIFS(Conferencias!$F:$F,$B9,Conferencias!$A:$A,$E$2)</f>
        <v/>
      </c>
      <c r="F9" s="148">
        <f>COUNTIFS(Conferencias!$F:$F,$B9,Conferencias!$I:$I,1,Conferencias!$A:$A,$E$2)</f>
        <v/>
      </c>
      <c r="G9" s="148">
        <f>COUNTIFS(Conferencias!$F:$F,$B9,Conferencias!$A:$A,G$2)</f>
        <v/>
      </c>
      <c r="H9" s="148">
        <f>COUNTIFS(Conferencias!$F:$F,$B9,Conferencias!$I:$I,1,Conferencias!$A:$A,G$2)</f>
        <v/>
      </c>
      <c r="I9" s="148">
        <f>COUNTIFS(Conferencias!$F:$F,$B9,Conferencias!$A:$A,I$2)</f>
        <v/>
      </c>
      <c r="J9" s="148">
        <f>COUNTIFS(Conferencias!$F:$F,$B9,Conferencias!$I:$I,1,Conferencias!$A:$A,I$2)</f>
        <v/>
      </c>
      <c r="K9" s="148">
        <f>COUNTIFS(Conferencias!$F:$F,$B9,Conferencias!$A:$A,K$2)</f>
        <v/>
      </c>
      <c r="L9" s="148">
        <f>COUNTIFS(Conferencias!$F:$F,$B9,Conferencias!$I:$I,1,Conferencias!$A:$A,K$2)</f>
        <v/>
      </c>
      <c r="N9" s="148" t="inlineStr">
        <is>
          <t>B2</t>
        </is>
      </c>
      <c r="O9" s="149">
        <f>COUNTIF(Periodicos!$F:$F,$N9)</f>
        <v/>
      </c>
      <c r="P9" s="149">
        <f>COUNTIFS(Periodicos!$F:$F,$N9,Periodicos!$I:$I,1)</f>
        <v/>
      </c>
      <c r="Q9" s="149">
        <f>COUNTIFS(Periodicos!$F:$F,$N9,Periodicos!$A:$A,Q$2)</f>
        <v/>
      </c>
      <c r="R9" s="149">
        <f>COUNTIFS(Periodicos!$F:$F,$N9,Periodicos!$I:$I,1,Periodicos!$A:$A,Q$2)</f>
        <v/>
      </c>
      <c r="S9" s="149">
        <f>COUNTIFS(Periodicos!$F:$F,$N9,Periodicos!$A:$A,S$2)</f>
        <v/>
      </c>
      <c r="T9" s="149">
        <f>COUNTIFS(Periodicos!$F:$F,$N9,Periodicos!$I:$I,1,Periodicos!$A:$A,S$2)</f>
        <v/>
      </c>
      <c r="U9" s="149">
        <f>COUNTIFS(Periodicos!$F:$F,$N9,Periodicos!$A:$A,U$2)</f>
        <v/>
      </c>
      <c r="V9" s="149">
        <f>COUNTIFS(Periodicos!$F:$F,$N9,Periodicos!$I:$I,1,Periodicos!$A:$A,U$2)</f>
        <v/>
      </c>
      <c r="W9" s="149">
        <f>COUNTIFS(Periodicos!$F:$F,$N9,Periodicos!$A:$A,W$2)</f>
        <v/>
      </c>
      <c r="X9" s="149">
        <f>COUNTIFS(Periodicos!$F:$F,$N9,Periodicos!$I:$I,1,Periodicos!$A:$A,W$2)</f>
        <v/>
      </c>
      <c r="AA9" s="149" t="inlineStr">
        <is>
          <t>B2</t>
        </is>
      </c>
      <c r="AB9" s="149">
        <f>O9</f>
        <v/>
      </c>
      <c r="AC9" s="149">
        <f>C9</f>
        <v/>
      </c>
    </row>
    <row r="10" ht="15.75" customHeight="1" s="144">
      <c r="B10" s="148" t="inlineStr">
        <is>
          <t>B3</t>
        </is>
      </c>
      <c r="C10" s="148">
        <f>COUNTIF(Conferencias!$F:$F,$B10)</f>
        <v/>
      </c>
      <c r="D10" s="148">
        <f>COUNTIFS(Conferencias!$F:$F,$B10,Conferencias!$I:$I,1)</f>
        <v/>
      </c>
      <c r="E10" s="148">
        <f>COUNTIFS(Conferencias!$F:$F,$B10,Conferencias!$A:$A,$E$2)</f>
        <v/>
      </c>
      <c r="F10" s="148">
        <f>COUNTIFS(Conferencias!$F:$F,$B10,Conferencias!$I:$I,1,Conferencias!$A:$A,$E$2)</f>
        <v/>
      </c>
      <c r="G10" s="148">
        <f>COUNTIFS(Conferencias!$F:$F,$B10,Conferencias!$A:$A,G$2)</f>
        <v/>
      </c>
      <c r="H10" s="148">
        <f>COUNTIFS(Conferencias!$F:$F,$B10,Conferencias!$I:$I,1,Conferencias!$A:$A,G$2)</f>
        <v/>
      </c>
      <c r="I10" s="148">
        <f>COUNTIFS(Conferencias!$F:$F,$B10,Conferencias!$A:$A,I$2)</f>
        <v/>
      </c>
      <c r="J10" s="148">
        <f>COUNTIFS(Conferencias!$F:$F,$B10,Conferencias!$I:$I,1,Conferencias!$A:$A,I$2)</f>
        <v/>
      </c>
      <c r="K10" s="148">
        <f>COUNTIFS(Conferencias!$F:$F,$B10,Conferencias!$A:$A,K$2)</f>
        <v/>
      </c>
      <c r="L10" s="148">
        <f>COUNTIFS(Conferencias!$F:$F,$B10,Conferencias!$I:$I,1,Conferencias!$A:$A,K$2)</f>
        <v/>
      </c>
      <c r="N10" s="148" t="inlineStr">
        <is>
          <t>B3</t>
        </is>
      </c>
      <c r="O10" s="149">
        <f>COUNTIF(Periodicos!$F:$F,$N10)</f>
        <v/>
      </c>
      <c r="P10" s="149">
        <f>COUNTIFS(Periodicos!$F:$F,$N10,Periodicos!$I:$I,1)</f>
        <v/>
      </c>
      <c r="Q10" s="149">
        <f>COUNTIFS(Periodicos!$F:$F,$N10,Periodicos!$A:$A,Q$2)</f>
        <v/>
      </c>
      <c r="R10" s="149">
        <f>COUNTIFS(Periodicos!$F:$F,$N10,Periodicos!$I:$I,1,Periodicos!$A:$A,Q$2)</f>
        <v/>
      </c>
      <c r="S10" s="149">
        <f>COUNTIFS(Periodicos!$F:$F,$N10,Periodicos!$A:$A,S$2)</f>
        <v/>
      </c>
      <c r="T10" s="149">
        <f>COUNTIFS(Periodicos!$F:$F,$N10,Periodicos!$I:$I,1,Periodicos!$A:$A,S$2)</f>
        <v/>
      </c>
      <c r="U10" s="149">
        <f>COUNTIFS(Periodicos!$F:$F,$N10,Periodicos!$A:$A,U$2)</f>
        <v/>
      </c>
      <c r="V10" s="149">
        <f>COUNTIFS(Periodicos!$F:$F,$N10,Periodicos!$I:$I,1,Periodicos!$A:$A,U$2)</f>
        <v/>
      </c>
      <c r="W10" s="149">
        <f>COUNTIFS(Periodicos!$F:$F,$N10,Periodicos!$A:$A,W$2)</f>
        <v/>
      </c>
      <c r="X10" s="149">
        <f>COUNTIFS(Periodicos!$F:$F,$N10,Periodicos!$I:$I,1,Periodicos!$A:$A,W$2)</f>
        <v/>
      </c>
      <c r="AA10" s="149" t="inlineStr">
        <is>
          <t>B3</t>
        </is>
      </c>
      <c r="AB10" s="149">
        <f>O10</f>
        <v/>
      </c>
      <c r="AC10" s="149">
        <f>C10</f>
        <v/>
      </c>
    </row>
    <row r="11" ht="15.75" customHeight="1" s="144">
      <c r="B11" s="148" t="inlineStr">
        <is>
          <t>B4</t>
        </is>
      </c>
      <c r="C11" s="148">
        <f>COUNTIF(Conferencias!$F:$F,$B11)</f>
        <v/>
      </c>
      <c r="D11" s="148">
        <f>COUNTIFS(Conferencias!$F:$F,$B11,Conferencias!$I:$I,1)</f>
        <v/>
      </c>
      <c r="E11" s="148">
        <f>COUNTIFS(Conferencias!$F:$F,$B11,Conferencias!$A:$A,$E$2)</f>
        <v/>
      </c>
      <c r="F11" s="148">
        <f>COUNTIFS(Conferencias!$F:$F,$B11,Conferencias!$I:$I,1,Conferencias!$A:$A,$E$2)</f>
        <v/>
      </c>
      <c r="G11" s="148">
        <f>COUNTIFS(Conferencias!$F:$F,$B11,Conferencias!$A:$A,G$2)</f>
        <v/>
      </c>
      <c r="H11" s="148">
        <f>COUNTIFS(Conferencias!$F:$F,$B11,Conferencias!$I:$I,1,Conferencias!$A:$A,G$2)</f>
        <v/>
      </c>
      <c r="I11" s="148">
        <f>COUNTIFS(Conferencias!$F:$F,$B11,Conferencias!$A:$A,I$2)</f>
        <v/>
      </c>
      <c r="J11" s="148">
        <f>COUNTIFS(Conferencias!$F:$F,$B11,Conferencias!$I:$I,1,Conferencias!$A:$A,I$2)</f>
        <v/>
      </c>
      <c r="K11" s="148">
        <f>COUNTIFS(Conferencias!$F:$F,$B11,Conferencias!$A:$A,K$2)</f>
        <v/>
      </c>
      <c r="L11" s="148">
        <f>COUNTIFS(Conferencias!$F:$F,$B11,Conferencias!$I:$I,1,Conferencias!$A:$A,K$2)</f>
        <v/>
      </c>
      <c r="N11" s="148" t="inlineStr">
        <is>
          <t>B4</t>
        </is>
      </c>
      <c r="O11" s="149">
        <f>COUNTIF(Periodicos!$F:$F,$N11)</f>
        <v/>
      </c>
      <c r="P11" s="149">
        <f>COUNTIFS(Periodicos!$F:$F,$N11,Periodicos!$I:$I,1)</f>
        <v/>
      </c>
      <c r="Q11" s="149">
        <f>COUNTIFS(Periodicos!$F:$F,$N11,Periodicos!$A:$A,Q$2)</f>
        <v/>
      </c>
      <c r="R11" s="149">
        <f>COUNTIFS(Periodicos!$F:$F,$N11,Periodicos!$I:$I,1,Periodicos!$A:$A,Q$2)</f>
        <v/>
      </c>
      <c r="S11" s="149">
        <f>COUNTIFS(Periodicos!$F:$F,$N11,Periodicos!$A:$A,S$2)</f>
        <v/>
      </c>
      <c r="T11" s="149">
        <f>COUNTIFS(Periodicos!$F:$F,$N11,Periodicos!$I:$I,1,Periodicos!$A:$A,S$2)</f>
        <v/>
      </c>
      <c r="U11" s="149">
        <f>COUNTIFS(Periodicos!$F:$F,$N11,Periodicos!$A:$A,U$2)</f>
        <v/>
      </c>
      <c r="V11" s="149">
        <f>COUNTIFS(Periodicos!$F:$F,$N11,Periodicos!$I:$I,1,Periodicos!$A:$A,U$2)</f>
        <v/>
      </c>
      <c r="W11" s="149">
        <f>COUNTIFS(Periodicos!$F:$F,$N11,Periodicos!$A:$A,W$2)</f>
        <v/>
      </c>
      <c r="X11" s="149">
        <f>COUNTIFS(Periodicos!$F:$F,$N11,Periodicos!$I:$I,1,Periodicos!$A:$A,W$2)</f>
        <v/>
      </c>
      <c r="AA11" s="149" t="inlineStr">
        <is>
          <t>B4</t>
        </is>
      </c>
      <c r="AB11" s="149">
        <f>O11</f>
        <v/>
      </c>
      <c r="AC11" s="149">
        <f>C11</f>
        <v/>
      </c>
    </row>
    <row r="12" ht="15.75" customHeight="1" s="144">
      <c r="B12" s="148" t="inlineStr">
        <is>
          <t>NI</t>
        </is>
      </c>
      <c r="C12" s="148">
        <f>COUNTIF(Conferencias!$F:$F,$B12)</f>
        <v/>
      </c>
      <c r="D12" s="148">
        <f>COUNTIFS(Conferencias!$F:$F,$B12,Conferencias!$I:$I,1)</f>
        <v/>
      </c>
      <c r="E12" s="148">
        <f>COUNTIFS(Conferencias!$F:$F,$B12,Conferencias!$A:$A,$E$2)</f>
        <v/>
      </c>
      <c r="F12" s="148">
        <f>COUNTIFS(Conferencias!$F:$F,$B12,Conferencias!$I:$I,1,Conferencias!$A:$A,$E$2)</f>
        <v/>
      </c>
      <c r="G12" s="148">
        <f>COUNTIFS(Conferencias!$F:$F,$B12,Conferencias!$A:$A,G$2)</f>
        <v/>
      </c>
      <c r="H12" s="148">
        <f>COUNTIFS(Conferencias!$F:$F,$B12,Conferencias!$I:$I,1,Conferencias!$A:$A,G$2)</f>
        <v/>
      </c>
      <c r="I12" s="148">
        <f>COUNTIFS(Conferencias!$F:$F,$B12,Conferencias!$A:$A,I$2)</f>
        <v/>
      </c>
      <c r="J12" s="148">
        <f>COUNTIFS(Conferencias!$F:$F,$B12,Conferencias!$I:$I,1,Conferencias!$A:$A,I$2)</f>
        <v/>
      </c>
      <c r="K12" s="148">
        <f>COUNTIFS(Conferencias!$F:$F,$B12,Conferencias!$A:$A,K$2)</f>
        <v/>
      </c>
      <c r="L12" s="148">
        <f>COUNTIFS(Conferencias!$F:$F,$B12,Conferencias!$I:$I,1,Conferencias!$A:$A,K$2)</f>
        <v/>
      </c>
      <c r="N12" s="148" t="inlineStr">
        <is>
          <t>NA</t>
        </is>
      </c>
      <c r="O12" s="149">
        <f>COUNTIF(Periodicos!$F:$F,$N12)</f>
        <v/>
      </c>
      <c r="P12" s="149">
        <f>COUNTIFS(Periodicos!$F:$F,$N12,Periodicos!$I:$I,1)</f>
        <v/>
      </c>
      <c r="Q12" s="149">
        <f>COUNTIFS(Periodicos!$F:$F,$N12,Periodicos!$A:$A,Q$2)</f>
        <v/>
      </c>
      <c r="R12" s="149">
        <f>COUNTIFS(Periodicos!$F:$F,$N12,Periodicos!$I:$I,1,Periodicos!$A:$A,Q$2)</f>
        <v/>
      </c>
      <c r="S12" s="149">
        <f>COUNTIFS(Periodicos!$F:$F,$N12,Periodicos!$A:$A,S$2)</f>
        <v/>
      </c>
      <c r="T12" s="149">
        <f>COUNTIFS(Periodicos!$F:$F,$N12,Periodicos!$I:$I,1,Periodicos!$A:$A,S$2)</f>
        <v/>
      </c>
      <c r="U12" s="149">
        <f>COUNTIFS(Periodicos!$F:$F,$N12,Periodicos!$A:$A,U$2)</f>
        <v/>
      </c>
      <c r="V12" s="149">
        <f>COUNTIFS(Periodicos!$F:$F,$N12,Periodicos!$I:$I,1,Periodicos!$A:$A,U$2)</f>
        <v/>
      </c>
      <c r="W12" s="149">
        <f>COUNTIFS(Periodicos!$F:$F,$N12,Periodicos!$A:$A,W$2)</f>
        <v/>
      </c>
      <c r="X12" s="149">
        <f>COUNTIFS(Periodicos!$F:$F,$N12,Periodicos!$I:$I,1,Periodicos!$A:$A,W$2)</f>
        <v/>
      </c>
      <c r="AA12" s="149" t="inlineStr">
        <is>
          <t>NA</t>
        </is>
      </c>
      <c r="AB12" s="149">
        <f>O12</f>
        <v/>
      </c>
      <c r="AC12" s="149">
        <f>C12</f>
        <v/>
      </c>
    </row>
    <row r="13" ht="15.75" customHeight="1" s="144">
      <c r="B13" s="150" t="n"/>
      <c r="C13" s="151">
        <f>SUM(C4:C12)</f>
        <v/>
      </c>
      <c r="D13" s="151">
        <f>SUM(D4:D12)</f>
        <v/>
      </c>
      <c r="E13" s="151">
        <f>SUM(E4:E12)</f>
        <v/>
      </c>
      <c r="F13" s="151">
        <f>SUM(F4:F12)</f>
        <v/>
      </c>
      <c r="G13" s="151">
        <f>SUM(G4:G12)</f>
        <v/>
      </c>
      <c r="H13" s="151">
        <f>SUM(H4:H12)</f>
        <v/>
      </c>
      <c r="I13" s="151">
        <f>SUM(I4:I12)</f>
        <v/>
      </c>
      <c r="J13" s="151">
        <f>SUM(J4:J12)</f>
        <v/>
      </c>
      <c r="K13" s="151">
        <f>SUM(K4:K12)</f>
        <v/>
      </c>
      <c r="L13" s="151">
        <f>SUM(L4:L12)</f>
        <v/>
      </c>
      <c r="N13" s="150" t="n"/>
      <c r="O13" s="151">
        <f>SUM(O4:O12)</f>
        <v/>
      </c>
      <c r="P13" s="151">
        <f>SUM(P4:P12)</f>
        <v/>
      </c>
      <c r="Q13" s="151">
        <f>SUM(Q4:Q12)</f>
        <v/>
      </c>
      <c r="R13" s="151">
        <f>SUM(R4:R12)</f>
        <v/>
      </c>
      <c r="S13" s="151">
        <f>SUM(S4:S12)</f>
        <v/>
      </c>
      <c r="T13" s="151">
        <f>SUM(T4:T12)</f>
        <v/>
      </c>
      <c r="U13" s="151">
        <f>SUM(U4:U12)</f>
        <v/>
      </c>
      <c r="V13" s="151">
        <f>SUM(V4:V12)</f>
        <v/>
      </c>
      <c r="W13" s="151">
        <f>SUM(W4:W12)</f>
        <v/>
      </c>
      <c r="X13" s="151">
        <f>SUM(X4:X12)</f>
        <v/>
      </c>
      <c r="AA13" s="147" t="n"/>
      <c r="AB13" s="151">
        <f>SUM(AB4:AB12)</f>
        <v/>
      </c>
      <c r="AC13" s="151">
        <f>SUM(AC4:AC12)</f>
        <v/>
      </c>
    </row>
    <row r="17" ht="15.75" customHeight="1" s="144">
      <c r="AA17" s="149" t="inlineStr">
        <is>
          <t>COM DISCENTE</t>
        </is>
      </c>
      <c r="AB17" s="152" t="n"/>
      <c r="AC17" s="146" t="n"/>
    </row>
    <row r="18" ht="15.75" customHeight="1" s="144">
      <c r="B18" s="153" t="inlineStr">
        <is>
          <t>Real</t>
        </is>
      </c>
      <c r="M18" s="153" t="inlineStr">
        <is>
          <t>Plano</t>
        </is>
      </c>
      <c r="AB18" s="154" t="inlineStr">
        <is>
          <t>Peródicos</t>
        </is>
      </c>
      <c r="AC18" s="154" t="inlineStr">
        <is>
          <t>Eventos</t>
        </is>
      </c>
    </row>
    <row r="19" ht="15.75" customHeight="1" s="144">
      <c r="AA19" s="149" t="inlineStr">
        <is>
          <t>A1</t>
        </is>
      </c>
      <c r="AB19" s="149">
        <f>P4</f>
        <v/>
      </c>
      <c r="AC19" s="149">
        <f>D4</f>
        <v/>
      </c>
    </row>
    <row r="20" ht="15.75" customHeight="1" s="144">
      <c r="B20" s="155" t="inlineStr">
        <is>
          <t>Ano</t>
        </is>
      </c>
      <c r="C20" s="145" t="inlineStr">
        <is>
          <t>Índice Restrito</t>
        </is>
      </c>
      <c r="D20" s="152" t="n"/>
      <c r="E20" s="146" t="n"/>
      <c r="F20" s="155" t="inlineStr">
        <is>
          <t>Docentes</t>
        </is>
      </c>
      <c r="G20" s="156" t="inlineStr">
        <is>
          <t>IRestrito
/docente/ano</t>
        </is>
      </c>
      <c r="H20" s="155" t="inlineStr">
        <is>
          <t>Ano</t>
        </is>
      </c>
      <c r="M20" s="155" t="inlineStr">
        <is>
          <t>Ano</t>
        </is>
      </c>
      <c r="N20" s="145" t="inlineStr">
        <is>
          <t>Índice Restrito</t>
        </is>
      </c>
      <c r="O20" s="152" t="n"/>
      <c r="P20" s="146" t="n"/>
      <c r="Q20" s="155" t="inlineStr">
        <is>
          <t>Docentes</t>
        </is>
      </c>
      <c r="R20" s="156" t="inlineStr">
        <is>
          <t>IRestrito
/docente/ano</t>
        </is>
      </c>
      <c r="AA20" s="149" t="inlineStr">
        <is>
          <t>A2</t>
        </is>
      </c>
      <c r="AB20" s="149">
        <f>P5</f>
        <v/>
      </c>
      <c r="AC20" s="149">
        <f>D5</f>
        <v/>
      </c>
    </row>
    <row r="21" ht="15.75" customHeight="1" s="144">
      <c r="B21" s="157" t="n"/>
      <c r="C21" s="145" t="inlineStr">
        <is>
          <t>Conferências</t>
        </is>
      </c>
      <c r="D21" s="145" t="inlineStr">
        <is>
          <t>Periódicos</t>
        </is>
      </c>
      <c r="E21" s="145" t="inlineStr">
        <is>
          <t>Total</t>
        </is>
      </c>
      <c r="F21" s="157" t="n"/>
      <c r="G21" s="157" t="n"/>
      <c r="H21" s="157" t="n"/>
      <c r="M21" s="157" t="n"/>
      <c r="N21" s="145" t="inlineStr">
        <is>
          <t>Conferências</t>
        </is>
      </c>
      <c r="O21" s="145" t="inlineStr">
        <is>
          <t>Periódicos</t>
        </is>
      </c>
      <c r="P21" s="145" t="inlineStr">
        <is>
          <t>Total</t>
        </is>
      </c>
      <c r="Q21" s="157" t="n"/>
      <c r="R21" s="157" t="n"/>
      <c r="AA21" s="149" t="inlineStr">
        <is>
          <t>A3</t>
        </is>
      </c>
      <c r="AB21" s="149">
        <f>P6</f>
        <v/>
      </c>
      <c r="AC21" s="149">
        <f>D6</f>
        <v/>
      </c>
    </row>
    <row r="22" ht="15.75" customHeight="1" s="144">
      <c r="B22" s="151" t="n">
        <v>2021</v>
      </c>
      <c r="C22" s="158">
        <f>SUMIFS(#REF!,Conferencias!$H:$H,1,Conferencias!$A:$A,B22)</f>
        <v/>
      </c>
      <c r="D22" s="158">
        <f>SUMIFS(Periodicos!$AB:$AB,Periodicos!$H:$H,1,Periodicos!$A:$A,B22)</f>
        <v/>
      </c>
      <c r="E22" s="158">
        <f>C22+D22</f>
        <v/>
      </c>
      <c r="F22" s="159" t="n">
        <v>13</v>
      </c>
      <c r="G22" s="158">
        <f>E22/F22</f>
        <v/>
      </c>
      <c r="H22" s="159" t="n">
        <v>1</v>
      </c>
      <c r="I22" s="143" t="inlineStr">
        <is>
          <t>--leonardo (maio)   --haddad (dezembro)</t>
        </is>
      </c>
      <c r="M22" s="151" t="n">
        <v>2021</v>
      </c>
      <c r="N22" s="158">
        <f>SUMIFS(#REF!,Conferencias!$H:$H,1,Conferencias!$A:$A,M22)</f>
        <v/>
      </c>
      <c r="O22" s="158">
        <f>SUMIFS(Periodicos!$AB:$AB,Periodicos!$H:$H,1,Periodicos!$A:$A,M22)</f>
        <v/>
      </c>
      <c r="P22" s="158">
        <f>N22+O22</f>
        <v/>
      </c>
      <c r="Q22" s="159" t="n">
        <v>13</v>
      </c>
      <c r="R22" s="158">
        <f>P22/Q22</f>
        <v/>
      </c>
      <c r="AA22" s="149" t="inlineStr">
        <is>
          <t>A4</t>
        </is>
      </c>
      <c r="AB22" s="149">
        <f>P7</f>
        <v/>
      </c>
      <c r="AC22" s="149">
        <f>D7</f>
        <v/>
      </c>
    </row>
    <row r="23" ht="15.75" customHeight="1" s="144">
      <c r="B23" s="151" t="n">
        <v>2022</v>
      </c>
      <c r="C23" s="158">
        <f>SUMIFS(#REF!,Conferencias!$H:$H,1,Conferencias!$A:$A,B23)</f>
        <v/>
      </c>
      <c r="D23" s="158">
        <f>SUMIFS(Periodicos!$AB:$AB,Periodicos!$H:$H,1,Periodicos!$A:$A,B23)</f>
        <v/>
      </c>
      <c r="E23" s="158">
        <f>C23+D23</f>
        <v/>
      </c>
      <c r="F23" s="159" t="n">
        <v>13</v>
      </c>
      <c r="G23" s="158">
        <f>E23/F23</f>
        <v/>
      </c>
      <c r="H23" s="159" t="n">
        <v>1</v>
      </c>
      <c r="I23" s="143" t="inlineStr">
        <is>
          <t>++ glauco (fevereiro)</t>
        </is>
      </c>
      <c r="M23" s="151" t="n">
        <v>2022</v>
      </c>
      <c r="N23" s="158">
        <f>SUMIFS(#REF!,Conferencias!$H:$H,1,Conferencias!$A:$A,M23)</f>
        <v/>
      </c>
      <c r="O23" s="158">
        <f>SUMIFS(Periodicos!$AB:$AB,Periodicos!$H:$H,1,Periodicos!$A:$A,M23)</f>
        <v/>
      </c>
      <c r="P23" s="158">
        <f>N23+O23</f>
        <v/>
      </c>
      <c r="Q23" s="159" t="n">
        <v>13</v>
      </c>
      <c r="R23" s="158">
        <f>P23/Q23</f>
        <v/>
      </c>
      <c r="AA23" s="149" t="inlineStr">
        <is>
          <t>B1</t>
        </is>
      </c>
      <c r="AB23" s="149">
        <f>P8</f>
        <v/>
      </c>
      <c r="AC23" s="149">
        <f>D8</f>
        <v/>
      </c>
    </row>
    <row r="24" ht="15.75" customHeight="1" s="144">
      <c r="B24" s="151" t="n">
        <v>2023</v>
      </c>
      <c r="C24" s="158">
        <f>SUMIFS(#REF!,Conferencias!$H:$H,1,Conferencias!$A:$A,B24)</f>
        <v/>
      </c>
      <c r="D24" s="158">
        <f>SUMIFS(Periodicos!$AB:$AB,Periodicos!$H:$H,1,Periodicos!$A:$A,B24)</f>
        <v/>
      </c>
      <c r="E24" s="158">
        <f>C24+D24</f>
        <v/>
      </c>
      <c r="F24" s="159" t="n">
        <v>14</v>
      </c>
      <c r="G24" s="158">
        <f>E24/F24</f>
        <v/>
      </c>
      <c r="H24" s="159" t="n">
        <v>0</v>
      </c>
      <c r="I24" s="143" t="inlineStr">
        <is>
          <t>++ diogo</t>
        </is>
      </c>
      <c r="M24" s="151" t="n">
        <v>2023</v>
      </c>
      <c r="N24" s="160">
        <f>P24*3/4</f>
        <v/>
      </c>
      <c r="O24" s="160">
        <f>P24/4</f>
        <v/>
      </c>
      <c r="P24" s="160">
        <f>Q24*R24</f>
        <v/>
      </c>
      <c r="Q24" s="161" t="n">
        <v>14</v>
      </c>
      <c r="R24" s="160">
        <f>(R26*4-SUM(R22:R23))/2</f>
        <v/>
      </c>
      <c r="S24" s="160">
        <f>R24*3/4</f>
        <v/>
      </c>
      <c r="T24" s="160">
        <f>R24/4</f>
        <v/>
      </c>
      <c r="AA24" s="149" t="inlineStr">
        <is>
          <t>B2</t>
        </is>
      </c>
      <c r="AB24" s="149">
        <f>P9</f>
        <v/>
      </c>
      <c r="AC24" s="149">
        <f>D9</f>
        <v/>
      </c>
    </row>
    <row r="25" ht="15.75" customHeight="1" s="144">
      <c r="B25" s="151" t="n">
        <v>2024</v>
      </c>
      <c r="C25" s="158">
        <f>SUMIFS(#REF!,Conferencias!$H:$H,1,Conferencias!$A:$A,B25)</f>
        <v/>
      </c>
      <c r="D25" s="158">
        <f>SUMIFS(Periodicos!$AB:$AB,Periodicos!$H:$H,1,Periodicos!$A:$A,B25)</f>
        <v/>
      </c>
      <c r="E25" s="158">
        <f>C25+D25</f>
        <v/>
      </c>
      <c r="F25" s="159" t="n">
        <v>16</v>
      </c>
      <c r="G25" s="158">
        <f>E25/F25</f>
        <v/>
      </c>
      <c r="H25" s="159" t="n">
        <v>0</v>
      </c>
      <c r="M25" s="151" t="n">
        <v>2024</v>
      </c>
      <c r="N25" s="160">
        <f>P25*3/4</f>
        <v/>
      </c>
      <c r="O25" s="160">
        <f>P25/4</f>
        <v/>
      </c>
      <c r="P25" s="160">
        <f>Q25*R25</f>
        <v/>
      </c>
      <c r="Q25" s="161" t="n">
        <v>16</v>
      </c>
      <c r="R25" s="160">
        <f>(R26*4-SUM(R22:R24))</f>
        <v/>
      </c>
      <c r="S25" s="160">
        <f>R25*3/4</f>
        <v/>
      </c>
      <c r="T25" s="160">
        <f>R25/4</f>
        <v/>
      </c>
      <c r="AA25" s="149" t="inlineStr">
        <is>
          <t>B3</t>
        </is>
      </c>
      <c r="AB25" s="149">
        <f>P10</f>
        <v/>
      </c>
      <c r="AC25" s="149">
        <f>D10</f>
        <v/>
      </c>
    </row>
    <row r="26" ht="15.75" customHeight="1" s="144">
      <c r="C26" s="162">
        <f>SUMIFS(#REF!,Conferencias!$H:$H,1)</f>
        <v/>
      </c>
      <c r="D26" s="162">
        <f>SUMIFS(Periodicos!$AB:$AB,Periodicos!$H:$H,1)</f>
        <v/>
      </c>
      <c r="E26" s="162">
        <f>SUM(E22:E25)</f>
        <v/>
      </c>
      <c r="F26" s="163" t="n"/>
      <c r="G26" s="162">
        <f>SUM(G22:G25)/SUM(H22:H25)</f>
        <v/>
      </c>
      <c r="H26" s="164" t="n"/>
      <c r="N26" s="162">
        <f>SUMIFS(#REF!,Conferencias!$H:$H,1)</f>
        <v/>
      </c>
      <c r="O26" s="162">
        <f>SUMIFS(Periodicos!$AB:$AB,Periodicos!$H:$H,1)</f>
        <v/>
      </c>
      <c r="P26" s="162">
        <f>SUM(P22:P25)</f>
        <v/>
      </c>
      <c r="Q26" s="163" t="n"/>
      <c r="R26" s="165" t="n">
        <v>2.5</v>
      </c>
      <c r="AA26" s="149" t="inlineStr">
        <is>
          <t>B4</t>
        </is>
      </c>
      <c r="AB26" s="149">
        <f>P11</f>
        <v/>
      </c>
      <c r="AC26" s="149">
        <f>D11</f>
        <v/>
      </c>
    </row>
    <row r="27" ht="15.75" customHeight="1" s="144">
      <c r="AA27" s="149" t="inlineStr">
        <is>
          <t>NA</t>
        </is>
      </c>
      <c r="AB27" s="149">
        <f>P12</f>
        <v/>
      </c>
      <c r="AC27" s="149">
        <f>D12</f>
        <v/>
      </c>
    </row>
    <row r="28" ht="15.75" customHeight="1" s="144">
      <c r="F28" s="166" t="n"/>
      <c r="AA28" s="147" t="n"/>
      <c r="AB28" s="151">
        <f>SUM(AB19:AB27)</f>
        <v/>
      </c>
      <c r="AC28" s="151">
        <f>SUM(AC19:AC27)</f>
        <v/>
      </c>
    </row>
    <row r="29" ht="15.75" customHeight="1" s="144">
      <c r="B29" s="155" t="inlineStr">
        <is>
          <t>Ano</t>
        </is>
      </c>
      <c r="C29" s="155" t="inlineStr">
        <is>
          <t>Entrada</t>
        </is>
      </c>
      <c r="D29" s="155" t="inlineStr">
        <is>
          <t>Desligados</t>
        </is>
      </c>
      <c r="E29" s="167" t="inlineStr">
        <is>
          <t>Formados (ano)</t>
        </is>
      </c>
      <c r="F29" s="167" t="inlineStr">
        <is>
          <t>Ativos
(ano)</t>
        </is>
      </c>
      <c r="G29" s="155" t="inlineStr">
        <is>
          <t>Docentes</t>
        </is>
      </c>
      <c r="H29" s="156" t="inlineStr">
        <is>
          <t>Entrada
/docente</t>
        </is>
      </c>
      <c r="I29" s="156" t="inlineStr">
        <is>
          <t>Formados
/docente</t>
        </is>
      </c>
      <c r="J29" s="156" t="inlineStr">
        <is>
          <t>Ativos
/docente</t>
        </is>
      </c>
      <c r="M29" s="155" t="inlineStr">
        <is>
          <t>Ano</t>
        </is>
      </c>
      <c r="N29" s="155" t="inlineStr">
        <is>
          <t>Entrada</t>
        </is>
      </c>
      <c r="O29" s="155" t="inlineStr">
        <is>
          <t>Desligados</t>
        </is>
      </c>
      <c r="P29" s="167" t="inlineStr">
        <is>
          <t>Formados (ano)</t>
        </is>
      </c>
      <c r="Q29" s="167" t="inlineStr">
        <is>
          <t>Ativos
(ano)</t>
        </is>
      </c>
      <c r="R29" s="155" t="inlineStr">
        <is>
          <t>Docentes</t>
        </is>
      </c>
      <c r="S29" s="156" t="inlineStr">
        <is>
          <t>Entrada
/docente</t>
        </is>
      </c>
      <c r="T29" s="156" t="inlineStr">
        <is>
          <t>Formados
/docente</t>
        </is>
      </c>
      <c r="U29" s="156" t="inlineStr">
        <is>
          <t>Ativos
/docente</t>
        </is>
      </c>
      <c r="AB29" s="168">
        <f>AB28/AB13</f>
        <v/>
      </c>
      <c r="AC29" s="168">
        <f>AC28/AC13</f>
        <v/>
      </c>
    </row>
    <row r="30" ht="15.75" customHeight="1" s="144">
      <c r="B30" s="157" t="n"/>
      <c r="C30" s="157" t="n"/>
      <c r="D30" s="157" t="n"/>
      <c r="E30" s="157" t="n"/>
      <c r="F30" s="157" t="n"/>
      <c r="G30" s="157" t="n"/>
      <c r="H30" s="157" t="n"/>
      <c r="I30" s="157" t="n"/>
      <c r="J30" s="157" t="n"/>
      <c r="M30" s="157" t="n"/>
      <c r="N30" s="157" t="n"/>
      <c r="O30" s="157" t="n"/>
      <c r="P30" s="157" t="n"/>
      <c r="Q30" s="157" t="n"/>
      <c r="R30" s="157" t="n"/>
      <c r="S30" s="157" t="n"/>
      <c r="T30" s="157" t="n"/>
      <c r="U30" s="157" t="n"/>
    </row>
    <row r="31" ht="15.75" customHeight="1" s="144">
      <c r="B31" s="151" t="n">
        <v>2021</v>
      </c>
      <c r="C31" s="149" t="n">
        <v>19</v>
      </c>
      <c r="D31" s="149">
        <f>3+3+3+1</f>
        <v/>
      </c>
      <c r="E31" s="149" t="n">
        <v>7</v>
      </c>
      <c r="F31" s="149" t="n">
        <v>59</v>
      </c>
      <c r="G31" s="159" t="n">
        <v>13</v>
      </c>
      <c r="H31" s="158">
        <f>C31/G31</f>
        <v/>
      </c>
      <c r="I31" s="158">
        <f>E31/G31</f>
        <v/>
      </c>
      <c r="J31" s="158">
        <f>F31/G31</f>
        <v/>
      </c>
      <c r="M31" s="151" t="n">
        <v>2021</v>
      </c>
      <c r="N31" s="148" t="n">
        <v>19</v>
      </c>
      <c r="O31" s="148">
        <f>3+3+3+1</f>
        <v/>
      </c>
      <c r="P31" s="148" t="n">
        <v>7</v>
      </c>
      <c r="Q31" s="148" t="n">
        <v>59</v>
      </c>
      <c r="R31" s="169" t="n">
        <v>13</v>
      </c>
      <c r="S31" s="170">
        <f>N31/R31</f>
        <v/>
      </c>
      <c r="T31" s="170">
        <f>P31/R31</f>
        <v/>
      </c>
      <c r="U31" s="170">
        <f>Q31/R31</f>
        <v/>
      </c>
    </row>
    <row r="32" ht="15.75" customHeight="1" s="144">
      <c r="B32" s="151" t="n">
        <v>2022</v>
      </c>
      <c r="C32" s="149" t="n">
        <v>14</v>
      </c>
      <c r="D32" s="149" t="n">
        <v>7</v>
      </c>
      <c r="E32" s="149" t="n">
        <v>2</v>
      </c>
      <c r="F32" s="149">
        <f>F31+C32-D32-E32</f>
        <v/>
      </c>
      <c r="G32" s="159" t="n">
        <v>13</v>
      </c>
      <c r="H32" s="158">
        <f>C32/G32</f>
        <v/>
      </c>
      <c r="I32" s="158">
        <f>E32/G32</f>
        <v/>
      </c>
      <c r="J32" s="158">
        <f>F32/G32</f>
        <v/>
      </c>
      <c r="M32" s="151" t="n">
        <v>2022</v>
      </c>
      <c r="N32" s="148" t="n">
        <v>14</v>
      </c>
      <c r="O32" s="148" t="n">
        <v>7</v>
      </c>
      <c r="P32" s="148" t="n">
        <v>2</v>
      </c>
      <c r="Q32" s="148">
        <f>Q31+N32-O32-P32</f>
        <v/>
      </c>
      <c r="R32" s="169" t="n">
        <v>13</v>
      </c>
      <c r="S32" s="170">
        <f>N32/R32</f>
        <v/>
      </c>
      <c r="T32" s="170">
        <f>P32/R32</f>
        <v/>
      </c>
      <c r="U32" s="170">
        <f>Q32/R32</f>
        <v/>
      </c>
    </row>
    <row r="33" ht="15.75" customHeight="1" s="144">
      <c r="B33" s="151" t="n">
        <v>2023</v>
      </c>
      <c r="C33" s="149" t="n"/>
      <c r="D33" s="149" t="n"/>
      <c r="E33" s="149" t="n"/>
      <c r="F33" s="149">
        <f>F32+C33-D33-E33</f>
        <v/>
      </c>
      <c r="G33" s="159" t="n">
        <v>13</v>
      </c>
      <c r="H33" s="158">
        <f>C33/G33</f>
        <v/>
      </c>
      <c r="I33" s="158">
        <f>E33/G33</f>
        <v/>
      </c>
      <c r="J33" s="158">
        <f>F33/G33</f>
        <v/>
      </c>
      <c r="M33" s="151" t="n">
        <v>2023</v>
      </c>
      <c r="N33" s="171">
        <f>R33*S33</f>
        <v/>
      </c>
      <c r="O33" s="171">
        <f>ROUND(0.3*N33,0)</f>
        <v/>
      </c>
      <c r="P33" s="171" t="n">
        <v>25</v>
      </c>
      <c r="Q33" s="171">
        <f>Q32+N33-O33-P33</f>
        <v/>
      </c>
      <c r="R33" s="161" t="n">
        <v>14</v>
      </c>
      <c r="S33" s="160" t="n">
        <v>1.5</v>
      </c>
      <c r="T33" s="170">
        <f>P33/R33</f>
        <v/>
      </c>
      <c r="U33" s="170">
        <f>Q33/R33</f>
        <v/>
      </c>
    </row>
    <row r="34" ht="15.75" customHeight="1" s="144">
      <c r="B34" s="151" t="n">
        <v>2024</v>
      </c>
      <c r="C34" s="149" t="n"/>
      <c r="D34" s="149" t="n"/>
      <c r="E34" s="159" t="n"/>
      <c r="F34" s="149">
        <f>F33+C34-D34-E34</f>
        <v/>
      </c>
      <c r="G34" s="159" t="n">
        <v>13</v>
      </c>
      <c r="H34" s="158">
        <f>C34/G34</f>
        <v/>
      </c>
      <c r="I34" s="158">
        <f>E34/G34</f>
        <v/>
      </c>
      <c r="J34" s="158">
        <f>F34/G34</f>
        <v/>
      </c>
      <c r="M34" s="151" t="n">
        <v>2024</v>
      </c>
      <c r="N34" s="171">
        <f>R34*S34</f>
        <v/>
      </c>
      <c r="O34" s="171">
        <f>ROUND(0.3*N34,0)</f>
        <v/>
      </c>
      <c r="P34" s="161" t="n">
        <v>25</v>
      </c>
      <c r="Q34" s="171">
        <f>Q33+N34-O34-P34</f>
        <v/>
      </c>
      <c r="R34" s="161" t="n">
        <v>16</v>
      </c>
      <c r="S34" s="160" t="n">
        <v>1.5</v>
      </c>
      <c r="T34" s="170">
        <f>P34/R34</f>
        <v/>
      </c>
      <c r="U34" s="170">
        <f>Q34/R34</f>
        <v/>
      </c>
    </row>
    <row r="35" ht="15.75" customHeight="1" s="144">
      <c r="C35" s="172">
        <f>SUM(C31:C34)</f>
        <v/>
      </c>
      <c r="E35" s="173">
        <f>SUM(E31:E34)</f>
        <v/>
      </c>
      <c r="I35" s="162">
        <f>SUM(I31:I34)/4</f>
        <v/>
      </c>
      <c r="N35" s="172">
        <f>SUM(N31:N34)</f>
        <v/>
      </c>
      <c r="P35" s="173">
        <f>SUM(P31:P34)</f>
        <v/>
      </c>
      <c r="T35" s="162">
        <f>SUM(T31:T34)/4</f>
        <v/>
      </c>
    </row>
    <row r="37" ht="15.75" customHeight="1" s="144">
      <c r="M37" s="151" t="n">
        <v>2025</v>
      </c>
      <c r="N37" s="174">
        <f>R37*S37</f>
        <v/>
      </c>
      <c r="O37" s="148">
        <f>ROUND(0.3*N37,0)</f>
        <v/>
      </c>
      <c r="P37" s="174">
        <f>R37*T37</f>
        <v/>
      </c>
      <c r="Q37" s="151">
        <f>Q34+N37-O37-P37</f>
        <v/>
      </c>
      <c r="R37" s="169" t="n">
        <v>16</v>
      </c>
      <c r="S37" s="170" t="n">
        <v>1.5</v>
      </c>
      <c r="T37" s="170" t="n">
        <v>1</v>
      </c>
      <c r="U37" s="170">
        <f>Q37/R37</f>
        <v/>
      </c>
    </row>
    <row r="38" ht="15.75" customHeight="1" s="144">
      <c r="M38" s="151" t="n">
        <v>2026</v>
      </c>
      <c r="N38" s="174">
        <f>R38*S38</f>
        <v/>
      </c>
      <c r="O38" s="148">
        <f>ROUND(0.3*N38,0)</f>
        <v/>
      </c>
      <c r="P38" s="174">
        <f>R38*T38</f>
        <v/>
      </c>
      <c r="Q38" s="151">
        <f>Q37+N38-O38-P38</f>
        <v/>
      </c>
      <c r="R38" s="169" t="n">
        <v>18</v>
      </c>
      <c r="S38" s="170" t="n">
        <v>1.5</v>
      </c>
      <c r="T38" s="170" t="n">
        <v>1</v>
      </c>
      <c r="U38" s="170">
        <f>Q38/R38</f>
        <v/>
      </c>
    </row>
    <row r="39" ht="15.75" customHeight="1" s="144">
      <c r="M39" s="151" t="n">
        <v>2027</v>
      </c>
      <c r="N39" s="174">
        <f>R39*S39</f>
        <v/>
      </c>
      <c r="O39" s="148">
        <f>ROUND(0.3*N39,0)</f>
        <v/>
      </c>
      <c r="P39" s="174">
        <f>R39*T39</f>
        <v/>
      </c>
      <c r="Q39" s="151">
        <f>Q38+N39-O39-P39</f>
        <v/>
      </c>
      <c r="R39" s="169" t="n">
        <v>18</v>
      </c>
      <c r="S39" s="170" t="n">
        <v>1.5</v>
      </c>
      <c r="T39" s="170" t="n">
        <v>1</v>
      </c>
      <c r="U39" s="170">
        <f>Q39/R39</f>
        <v/>
      </c>
    </row>
    <row r="40" ht="15.75" customHeight="1" s="144">
      <c r="M40" s="151" t="n">
        <v>2028</v>
      </c>
      <c r="N40" s="174">
        <f>R40*S40</f>
        <v/>
      </c>
      <c r="O40" s="148">
        <f>ROUND(0.3*N40,0)</f>
        <v/>
      </c>
      <c r="P40" s="174">
        <f>R40*T40</f>
        <v/>
      </c>
      <c r="Q40" s="151">
        <f>Q39+N40-O40-P40</f>
        <v/>
      </c>
      <c r="R40" s="169" t="n">
        <v>20</v>
      </c>
      <c r="S40" s="170" t="n">
        <v>1.5</v>
      </c>
      <c r="T40" s="170" t="n">
        <v>1</v>
      </c>
      <c r="U40" s="170">
        <f>Q40/R40</f>
        <v/>
      </c>
    </row>
  </sheetData>
  <mergeCells count="38">
    <mergeCell ref="M20:M21"/>
    <mergeCell ref="H29:H30"/>
    <mergeCell ref="G2:H2"/>
    <mergeCell ref="I2:J2"/>
    <mergeCell ref="C29:C30"/>
    <mergeCell ref="T29:T30"/>
    <mergeCell ref="E29:E30"/>
    <mergeCell ref="Q20:Q21"/>
    <mergeCell ref="F20:F21"/>
    <mergeCell ref="Q29:Q30"/>
    <mergeCell ref="B29:B30"/>
    <mergeCell ref="S2:T2"/>
    <mergeCell ref="U2:V2"/>
    <mergeCell ref="O29:O30"/>
    <mergeCell ref="R20:R21"/>
    <mergeCell ref="N29:N30"/>
    <mergeCell ref="G20:G21"/>
    <mergeCell ref="G29:G30"/>
    <mergeCell ref="C2:D2"/>
    <mergeCell ref="E2:F2"/>
    <mergeCell ref="K2:L2"/>
    <mergeCell ref="AA17:AC17"/>
    <mergeCell ref="I29:I30"/>
    <mergeCell ref="B20:B21"/>
    <mergeCell ref="N20:P20"/>
    <mergeCell ref="D29:D30"/>
    <mergeCell ref="U29:U30"/>
    <mergeCell ref="F29:F30"/>
    <mergeCell ref="O2:P2"/>
    <mergeCell ref="Q2:R2"/>
    <mergeCell ref="W2:X2"/>
    <mergeCell ref="M29:M30"/>
    <mergeCell ref="S29:S30"/>
    <mergeCell ref="H20:H21"/>
    <mergeCell ref="J29:J30"/>
    <mergeCell ref="P29:P30"/>
    <mergeCell ref="C20:E20"/>
    <mergeCell ref="R29:R30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1"/>
  </sheetPr>
  <dimension ref="A1:T4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34" activeCellId="0" sqref="C34"/>
    </sheetView>
  </sheetViews>
  <sheetFormatPr baseColWidth="8" defaultColWidth="11.00390625" defaultRowHeight="15.75" zeroHeight="0" outlineLevelRow="0"/>
  <cols>
    <col width="37.5" customWidth="1" style="175" min="1" max="1"/>
    <col width="60.62" customWidth="1" style="272" min="2" max="2"/>
    <col width="7.12" customWidth="1" style="229" min="3" max="3"/>
    <col width="3.38" customWidth="1" style="176" min="4" max="20"/>
    <col width="3.38" customWidth="1" style="175" min="22" max="40"/>
  </cols>
  <sheetData>
    <row r="1" ht="15.75" customHeight="1" s="144">
      <c r="A1" s="196" t="inlineStr">
        <is>
          <t>Nome</t>
        </is>
      </c>
      <c r="B1" s="273" t="inlineStr">
        <is>
          <t>Google Scholar</t>
        </is>
      </c>
      <c r="C1" s="196" t="inlineStr">
        <is>
          <t>H-index</t>
        </is>
      </c>
      <c r="E1" s="189" t="n"/>
      <c r="F1" s="189" t="n"/>
      <c r="G1" s="189" t="n"/>
      <c r="H1" s="189" t="n"/>
      <c r="I1" s="189" t="n"/>
      <c r="J1" s="189" t="n"/>
      <c r="K1" s="189" t="n"/>
      <c r="L1" s="189" t="n"/>
      <c r="M1" s="189" t="n"/>
      <c r="N1" s="189" t="n"/>
      <c r="O1" s="189" t="n"/>
      <c r="P1" s="189" t="n"/>
      <c r="Q1" s="189" t="n"/>
      <c r="R1" s="189" t="n"/>
      <c r="S1" s="189" t="n"/>
      <c r="T1" s="189" t="n"/>
    </row>
    <row r="2" ht="15.75" customHeight="1" s="144">
      <c r="A2" s="274" t="inlineStr">
        <is>
          <t>Diego Brandão</t>
        </is>
      </c>
      <c r="B2" s="275" t="inlineStr">
        <is>
          <t>https://scholar.google.com.br/citations?user=pBQVTUkAAAAJ</t>
        </is>
      </c>
      <c r="C2" s="229" t="n">
        <v>7</v>
      </c>
    </row>
    <row r="3" ht="15.75" customHeight="1" s="144">
      <c r="A3" s="274" t="inlineStr">
        <is>
          <t>Diogo Mendonça</t>
        </is>
      </c>
      <c r="B3" s="276" t="inlineStr">
        <is>
          <t>https://scholar.google.com/citations?user=bwkYcu4AAAAJ&amp;hl=pt-BR</t>
        </is>
      </c>
      <c r="C3" s="229" t="n">
        <v>0</v>
      </c>
    </row>
    <row r="4" ht="15.75" customHeight="1" s="144">
      <c r="A4" s="274" t="inlineStr">
        <is>
          <t>Eduardo Bezerra</t>
        </is>
      </c>
      <c r="B4" s="275" t="inlineStr">
        <is>
          <t>https://scholar.google.com.br/citations?user=WQflRMIAAAAJ</t>
        </is>
      </c>
      <c r="C4" s="229" t="n">
        <v>11</v>
      </c>
    </row>
    <row r="5" ht="15.75" customHeight="1" s="144">
      <c r="A5" s="274" t="inlineStr">
        <is>
          <t>Eduardo Ogasawara</t>
        </is>
      </c>
      <c r="B5" s="275" t="inlineStr">
        <is>
          <t>https://scholar.google.com.br/citations?user=uloLWtgAAAAJ</t>
        </is>
      </c>
      <c r="C5" s="229" t="n">
        <v>25</v>
      </c>
    </row>
    <row r="6" ht="15.75" customHeight="1" s="144">
      <c r="A6" s="274" t="inlineStr">
        <is>
          <t>Felipe da Rocha Henriques</t>
        </is>
      </c>
      <c r="B6" s="276" t="inlineStr">
        <is>
          <t>https://scholar.google.com.br/citations?user=kJT37q4AAAAJ</t>
        </is>
      </c>
      <c r="C6" s="229" t="n">
        <v>5</v>
      </c>
    </row>
    <row r="7" ht="15.75" customHeight="1" s="144">
      <c r="A7" s="274" t="inlineStr">
        <is>
          <t>Glauco Amorim</t>
        </is>
      </c>
      <c r="B7" s="276" t="inlineStr">
        <is>
          <t>https://scholar.google.com/citations?user=pNL2V2sAAAAJ</t>
        </is>
      </c>
      <c r="C7" s="229" t="n">
        <v>4</v>
      </c>
    </row>
    <row r="8" ht="15.75" customHeight="1" s="144">
      <c r="A8" s="274" t="inlineStr">
        <is>
          <t>Gustavo Guedes</t>
        </is>
      </c>
      <c r="B8" s="275" t="inlineStr">
        <is>
          <t>https://scholar.google.com.br/citations?user=nZfS3qoAAAAJ</t>
        </is>
      </c>
      <c r="C8" s="229" t="n">
        <v>7</v>
      </c>
    </row>
    <row r="9" ht="15.75" customHeight="1" s="144">
      <c r="A9" s="274" t="inlineStr">
        <is>
          <t xml:space="preserve">Joao Quadros </t>
        </is>
      </c>
      <c r="B9" s="275" t="inlineStr">
        <is>
          <t>https://scholar.google.com.br/citations?user=4AwT7X8AAAAJ</t>
        </is>
      </c>
      <c r="C9" s="229" t="n">
        <v>5</v>
      </c>
    </row>
    <row r="10" ht="15.75" customHeight="1" s="144">
      <c r="A10" s="274" t="inlineStr">
        <is>
          <t>Joel dos Santos</t>
        </is>
      </c>
      <c r="B10" s="275" t="inlineStr">
        <is>
          <t>https://scholar.google.com.br/citations?user=fYjzAYMAAAAJ</t>
        </is>
      </c>
      <c r="C10" s="229" t="n">
        <v>8</v>
      </c>
    </row>
    <row r="11" ht="15.75" customHeight="1" s="144">
      <c r="A11" s="274" t="inlineStr">
        <is>
          <t>Jorge Soares</t>
        </is>
      </c>
      <c r="B11" s="275" t="inlineStr">
        <is>
          <t>https://scholar.google.com.br/citations?user=nz-6EN4AAAAJ</t>
        </is>
      </c>
      <c r="C11" s="229" t="n">
        <v>3</v>
      </c>
    </row>
    <row r="12" ht="15.75" customHeight="1" s="144">
      <c r="A12" s="274" t="inlineStr">
        <is>
          <t>Kele Belloze</t>
        </is>
      </c>
      <c r="B12" s="275" t="inlineStr">
        <is>
          <t>https://scholar.google.com.br/citations?user=Fc2hY1AAAAAJ</t>
        </is>
      </c>
      <c r="C12" s="229" t="n">
        <v>5</v>
      </c>
    </row>
    <row r="13" ht="15.75" customHeight="1" s="144">
      <c r="A13" s="274" t="inlineStr">
        <is>
          <t>Laura de Assis</t>
        </is>
      </c>
      <c r="B13" s="275" t="inlineStr">
        <is>
          <t>https://scholar.google.com.br/citations?user=IA70H1UAAAAJ</t>
        </is>
      </c>
      <c r="C13" s="229" t="n">
        <v>5</v>
      </c>
    </row>
    <row r="14" ht="15.75" customHeight="1" s="144">
      <c r="A14" s="274" t="inlineStr">
        <is>
          <t>Pedro Gonzalez</t>
        </is>
      </c>
      <c r="B14" s="275" t="inlineStr">
        <is>
          <t>https://scholar.google.com.br/citations?user=XF-fXTAAAAAJ</t>
        </is>
      </c>
      <c r="C14" s="229" t="n">
        <v>6</v>
      </c>
    </row>
    <row r="15" ht="15.75" customHeight="1" s="144">
      <c r="A15" s="274" t="inlineStr">
        <is>
          <t>Rafaelli Coutinho</t>
        </is>
      </c>
      <c r="B15" s="275" t="inlineStr">
        <is>
          <t>https://scholar.google.com.br/citations?user=KLgK4c4AAAAJ</t>
        </is>
      </c>
      <c r="C15" s="229" t="n">
        <v>5</v>
      </c>
    </row>
    <row r="17" ht="15.75" customHeight="1" s="144">
      <c r="A17" s="196" t="inlineStr">
        <is>
          <t>Nome</t>
        </is>
      </c>
      <c r="B17" s="273" t="inlineStr">
        <is>
          <t>Scopus</t>
        </is>
      </c>
      <c r="C17" s="196" t="inlineStr">
        <is>
          <t>H-index</t>
        </is>
      </c>
    </row>
    <row r="18" ht="15.75" customHeight="1" s="144">
      <c r="A18" s="274" t="inlineStr">
        <is>
          <t>Diego Brandão</t>
        </is>
      </c>
      <c r="B18" s="275" t="inlineStr">
        <is>
          <t>https://www.scopus.com/authid/detail.uri?authorId=32867459900</t>
        </is>
      </c>
      <c r="C18" s="229" t="n">
        <v>5</v>
      </c>
    </row>
    <row r="19" ht="15.75" customHeight="1" s="144">
      <c r="A19" s="274" t="inlineStr">
        <is>
          <t>Diogo Mendonça</t>
        </is>
      </c>
      <c r="B19" s="276" t="inlineStr">
        <is>
          <t>https://www.scopus.com/authid/detail.uri?authorId=57205767413</t>
        </is>
      </c>
      <c r="C19" s="229" t="n">
        <v>2</v>
      </c>
    </row>
    <row r="20" ht="15.75" customHeight="1" s="144">
      <c r="A20" s="274" t="inlineStr">
        <is>
          <t>Eduardo Bezerra</t>
        </is>
      </c>
      <c r="B20" s="275" t="inlineStr">
        <is>
          <t>https://www.scopus.com/authid/detail.uri?authorId=6506097045</t>
        </is>
      </c>
      <c r="C20" s="229" t="n">
        <v>5</v>
      </c>
    </row>
    <row r="21" ht="15.75" customHeight="1" s="144">
      <c r="A21" s="274" t="inlineStr">
        <is>
          <t>Eduardo Ogasawara</t>
        </is>
      </c>
      <c r="B21" s="275" t="inlineStr">
        <is>
          <t>https://www.scopus.com/authid/detail.uri?authorId=33368211600</t>
        </is>
      </c>
      <c r="C21" s="229" t="n">
        <v>16</v>
      </c>
    </row>
    <row r="22" ht="15.75" customHeight="1" s="144">
      <c r="A22" s="274" t="inlineStr">
        <is>
          <t>Glauco Amorim</t>
        </is>
      </c>
      <c r="B22" s="276" t="inlineStr">
        <is>
          <t>https://www.scopus.com/authid/detail.uri?authorId=55953969800</t>
        </is>
      </c>
      <c r="C22" s="229" t="n">
        <v>3</v>
      </c>
    </row>
    <row r="23" ht="15.75" customHeight="1" s="144">
      <c r="A23" s="274" t="inlineStr">
        <is>
          <t>Felipe da Rocha Henriques</t>
        </is>
      </c>
      <c r="B23" s="275" t="inlineStr">
        <is>
          <t>https://www.scopus.com/authid/detail.uri?authorId=57204646715</t>
        </is>
      </c>
      <c r="C23" s="229" t="n">
        <v>3</v>
      </c>
    </row>
    <row r="24" ht="15.75" customHeight="1" s="144">
      <c r="A24" s="274" t="inlineStr">
        <is>
          <t>Gustavo Guedes</t>
        </is>
      </c>
      <c r="B24" s="275" t="inlineStr">
        <is>
          <t>https://www.scopus.com/authid/detail.uri?authorId=57076135000</t>
        </is>
      </c>
      <c r="C24" s="229" t="n">
        <v>0</v>
      </c>
    </row>
    <row r="25" ht="15.75" customHeight="1" s="144">
      <c r="A25" s="274" t="inlineStr">
        <is>
          <t xml:space="preserve">Joao Quadros </t>
        </is>
      </c>
      <c r="B25" s="275" t="inlineStr">
        <is>
          <t>https://www.scopus.com/authid/detail.uri?authorId=56119522800</t>
        </is>
      </c>
      <c r="C25" s="229" t="n">
        <v>2</v>
      </c>
    </row>
    <row r="26" ht="15.75" customHeight="1" s="144">
      <c r="A26" s="274" t="inlineStr">
        <is>
          <t>Joel dos Santos</t>
        </is>
      </c>
      <c r="B26" s="275" t="inlineStr">
        <is>
          <t>https://www.scopus.com/authid/detail.uri?authorId=36175635600</t>
        </is>
      </c>
      <c r="C26" s="229" t="n">
        <v>7</v>
      </c>
    </row>
    <row r="27" ht="15.75" customHeight="1" s="144">
      <c r="A27" s="274" t="inlineStr">
        <is>
          <t>Jorge Soares</t>
        </is>
      </c>
      <c r="B27" s="275" t="inlineStr">
        <is>
          <t>https://www.scopus.com/authid/detail.uri?authorId=56121141300</t>
        </is>
      </c>
      <c r="C27" s="229" t="n">
        <v>4</v>
      </c>
    </row>
    <row r="28" ht="15.75" customHeight="1" s="144">
      <c r="A28" s="274" t="inlineStr">
        <is>
          <t>Kele Belloze</t>
        </is>
      </c>
      <c r="B28" s="275" t="inlineStr">
        <is>
          <t>https://www.scopus.com/authid/detail.uri?authorId=56019958100</t>
        </is>
      </c>
      <c r="C28" s="229" t="n">
        <v>4</v>
      </c>
    </row>
    <row r="29" ht="15.75" customHeight="1" s="144">
      <c r="A29" s="274" t="inlineStr">
        <is>
          <t>Laura de Assis</t>
        </is>
      </c>
      <c r="B29" s="275" t="inlineStr">
        <is>
          <t>https://www.scopus.com/authid/detail.uri?authorId=6603959869</t>
        </is>
      </c>
      <c r="C29" s="229" t="n">
        <v>4</v>
      </c>
    </row>
    <row r="30" ht="15.75" customHeight="1" s="144">
      <c r="A30" s="274" t="inlineStr">
        <is>
          <t>Pedro Gonzalez</t>
        </is>
      </c>
      <c r="B30" s="275" t="inlineStr">
        <is>
          <t>https://www.scopus.com/authid/detail.uri?authorId=15753781000</t>
        </is>
      </c>
      <c r="C30" s="229" t="n">
        <v>5</v>
      </c>
    </row>
    <row r="31" ht="15.75" customHeight="1" s="144">
      <c r="A31" s="274" t="inlineStr">
        <is>
          <t>Rafaelli Coutinho</t>
        </is>
      </c>
      <c r="B31" s="275" t="inlineStr">
        <is>
          <t>https://www.scopus.com/authid/detail.uri?authorId=56160998600</t>
        </is>
      </c>
      <c r="C31" s="229" t="n">
        <v>4</v>
      </c>
    </row>
    <row r="33" ht="15.75" customHeight="1" s="144">
      <c r="A33" s="196" t="inlineStr">
        <is>
          <t>Nome</t>
        </is>
      </c>
      <c r="B33" s="273" t="inlineStr">
        <is>
          <t>ResearchID/Publons</t>
        </is>
      </c>
      <c r="C33" s="196" t="inlineStr">
        <is>
          <t>H-index</t>
        </is>
      </c>
    </row>
    <row r="34" ht="15.75" customHeight="1" s="144">
      <c r="A34" s="274" t="inlineStr">
        <is>
          <t>Diego Brandão</t>
        </is>
      </c>
      <c r="B34" s="275" t="inlineStr">
        <is>
          <t>http://www.researcherid.com/rid/P-4281-2016</t>
        </is>
      </c>
      <c r="C34" s="229" t="n">
        <v>4</v>
      </c>
    </row>
    <row r="35" ht="15.75" customHeight="1" s="144">
      <c r="A35" s="274" t="inlineStr">
        <is>
          <t>Diogo Mendonça</t>
        </is>
      </c>
      <c r="B35" s="276" t="inlineStr">
        <is>
          <t>https://publons.com/researcher/5118168/diogo-silveira-mendonca</t>
        </is>
      </c>
      <c r="C35" s="229" t="n">
        <v>1</v>
      </c>
    </row>
    <row r="36" ht="15.75" customHeight="1" s="144">
      <c r="A36" s="274" t="inlineStr">
        <is>
          <t>Eduardo Bezerra</t>
        </is>
      </c>
      <c r="B36" s="275" t="inlineStr">
        <is>
          <t>http://www.researcherid.com/rid/H-2402-2018</t>
        </is>
      </c>
      <c r="C36" s="229" t="n">
        <v>3</v>
      </c>
    </row>
    <row r="37" ht="15.75" customHeight="1" s="144">
      <c r="A37" s="274" t="inlineStr">
        <is>
          <t>Eduardo Ogasawara</t>
        </is>
      </c>
      <c r="B37" s="275" t="inlineStr">
        <is>
          <t>http://www.researcherid.com/rid/N-6438-2014</t>
        </is>
      </c>
      <c r="C37" s="229" t="n">
        <v>11</v>
      </c>
    </row>
    <row r="38" ht="15.75" customHeight="1" s="144">
      <c r="A38" s="274" t="inlineStr">
        <is>
          <t>Felipe da Rocha Henriques</t>
        </is>
      </c>
      <c r="B38" s="275" t="inlineStr">
        <is>
          <t>http://www.researcherid.com/rid/AAC-4169-2019</t>
        </is>
      </c>
      <c r="C38" s="229" t="n">
        <v>2</v>
      </c>
    </row>
    <row r="39" ht="15.75" customHeight="1" s="144">
      <c r="A39" s="274" t="inlineStr">
        <is>
          <t>Glauco Amorim</t>
        </is>
      </c>
      <c r="B39" s="276" t="inlineStr">
        <is>
          <t>https://publons.com/researcher/V-2663-2018/</t>
        </is>
      </c>
      <c r="C39" s="229" t="n">
        <v>2</v>
      </c>
    </row>
    <row r="40" ht="15.75" customHeight="1" s="144">
      <c r="A40" s="274" t="inlineStr">
        <is>
          <t>Gustavo Guedes</t>
        </is>
      </c>
      <c r="B40" s="275" t="inlineStr">
        <is>
          <t>http://www.researcherid.com/rid/H-3227-2018</t>
        </is>
      </c>
      <c r="C40" s="229" t="n">
        <v>3</v>
      </c>
    </row>
    <row r="41" ht="15.75" customHeight="1" s="144">
      <c r="A41" s="274" t="inlineStr">
        <is>
          <t xml:space="preserve">Joao Quadros </t>
        </is>
      </c>
      <c r="B41" s="275" t="inlineStr">
        <is>
          <t>http://www.researcherid.com/rid/O-8069-2016</t>
        </is>
      </c>
      <c r="C41" s="229" t="n">
        <v>1</v>
      </c>
    </row>
    <row r="42" ht="15.75" customHeight="1" s="144">
      <c r="A42" s="274" t="inlineStr">
        <is>
          <t>Joel dos Santos</t>
        </is>
      </c>
      <c r="B42" s="275" t="inlineStr">
        <is>
          <t>http://www.researcherid.com/rid/O-6246-2016</t>
        </is>
      </c>
      <c r="C42" s="229" t="n">
        <v>4</v>
      </c>
    </row>
    <row r="43" ht="15.75" customHeight="1" s="144">
      <c r="A43" s="274" t="inlineStr">
        <is>
          <t>Jorge Soares</t>
        </is>
      </c>
      <c r="B43" s="275" t="inlineStr">
        <is>
          <t>http://www.researcherid.com/rid/A-5553-2018</t>
        </is>
      </c>
      <c r="C43" s="229" t="n">
        <v>1</v>
      </c>
    </row>
    <row r="44" ht="15.75" customHeight="1" s="144">
      <c r="A44" s="274" t="inlineStr">
        <is>
          <t>Kele Belloze</t>
        </is>
      </c>
      <c r="B44" s="275" t="inlineStr">
        <is>
          <t>http://www.researcherid.com/rid/H-3218-2018</t>
        </is>
      </c>
      <c r="C44" s="229" t="n">
        <v>2</v>
      </c>
    </row>
    <row r="45" ht="15.75" customHeight="1" s="144">
      <c r="A45" s="274" t="inlineStr">
        <is>
          <t>Laura de Assis</t>
        </is>
      </c>
      <c r="B45" s="276" t="inlineStr">
        <is>
          <t>http://www.researcherid.com/rid/O-3981-2018</t>
        </is>
      </c>
      <c r="C45" s="229" t="n">
        <v>4</v>
      </c>
    </row>
    <row r="46" ht="15.75" customHeight="1" s="144">
      <c r="A46" s="274" t="inlineStr">
        <is>
          <t>Pedro Gonzalez</t>
        </is>
      </c>
      <c r="B46" s="276" t="inlineStr">
        <is>
          <t>http://www.researcherid.com/rid/F-6102-2015</t>
        </is>
      </c>
      <c r="C46" s="229" t="n">
        <v>4</v>
      </c>
    </row>
    <row r="47" ht="15.75" customHeight="1" s="144">
      <c r="A47" s="274" t="inlineStr">
        <is>
          <t>Rafaelli Coutinho</t>
        </is>
      </c>
      <c r="B47" s="276" t="inlineStr">
        <is>
          <t>http://www.researcherid.com/rid/Q-4514-2017</t>
        </is>
      </c>
      <c r="C47" s="229" t="n">
        <v>3</v>
      </c>
    </row>
  </sheetData>
  <hyperlinks>
    <hyperlink ref="B2" display="https://scholar.google.com.br/citations?user=pBQVTUkAAAAJ" r:id="rId1"/>
    <hyperlink ref="B3" display="https://scholar.google.com/citations?user=bwkYcu4AAAAJ&amp;hl=pt-BR" r:id="rId2"/>
    <hyperlink ref="B4" display="https://scholar.google.com.br/citations?user=WQflRMIAAAAJ" r:id="rId3"/>
    <hyperlink ref="B5" display="https://scholar.google.com.br/citations?user=uloLWtgAAAAJ" r:id="rId4"/>
    <hyperlink ref="B6" display="https://scholar.google.com.br/citations?user=kJT37q4AAAAJ" r:id="rId5"/>
    <hyperlink ref="B7" display="https://scholar.google.com/citations?user=pNL2V2sAAAAJ" r:id="rId6"/>
    <hyperlink ref="B8" display="https://scholar.google.com.br/citations?user=nZfS3qoAAAAJ" r:id="rId7"/>
    <hyperlink ref="B9" display="https://scholar.google.com.br/citations?user=4AwT7X8AAAAJ" r:id="rId8"/>
    <hyperlink ref="B10" display="https://scholar.google.com.br/citations?user=fYjzAYMAAAAJ" r:id="rId9"/>
    <hyperlink ref="B11" display="https://scholar.google.com.br/citations?user=nz-6EN4AAAAJ" r:id="rId10"/>
    <hyperlink ref="B12" display="https://scholar.google.com.br/citations?user=Fc2hY1AAAAAJ" r:id="rId11"/>
    <hyperlink ref="B13" display="https://scholar.google.com.br/citations?user=IA70H1UAAAAJ" r:id="rId12"/>
    <hyperlink ref="B14" display="https://scholar.google.com.br/citations?user=XF-fXTAAAAAJ" r:id="rId13"/>
    <hyperlink ref="B15" display="https://scholar.google.com.br/citations?user=KLgK4c4AAAAJ" r:id="rId14"/>
    <hyperlink ref="B18" display="https://www.scopus.com/authid/detail.uri?authorId=32867459900" r:id="rId15"/>
    <hyperlink ref="B19" display="https://www.scopus.com/authid/detail.uri?authorId=57205767413" r:id="rId16"/>
    <hyperlink ref="B20" display="https://www.scopus.com/authid/detail.uri?authorId=6506097045" r:id="rId17"/>
    <hyperlink ref="B21" display="https://www.scopus.com/authid/detail.uri?authorId=33368211600" r:id="rId18"/>
    <hyperlink ref="B22" display="https://www.scopus.com/authid/detail.uri?authorId=55953969800" r:id="rId19"/>
    <hyperlink ref="B23" display="https://www.scopus.com/authid/detail.uri?authorId=57204646715" r:id="rId20"/>
    <hyperlink ref="B24" display="https://www.scopus.com/authid/detail.uri?authorId=57076135000" r:id="rId21"/>
    <hyperlink ref="B25" display="https://www.scopus.com/authid/detail.uri?authorId=56119522800" r:id="rId22"/>
    <hyperlink ref="B26" display="https://www.scopus.com/authid/detail.uri?authorId=36175635600" r:id="rId23"/>
    <hyperlink ref="B27" display="https://www.scopus.com/authid/detail.uri?authorId=56121141300" r:id="rId24"/>
    <hyperlink ref="B28" display="https://www.scopus.com/authid/detail.uri?authorId=56019958100" r:id="rId25"/>
    <hyperlink ref="B29" display="https://www.scopus.com/authid/detail.uri?authorId=6603959869" r:id="rId26"/>
    <hyperlink ref="B30" display="https://www.scopus.com/authid/detail.uri?authorId=15753781000" r:id="rId27"/>
    <hyperlink ref="B31" display="https://www.scopus.com/authid/detail.uri?authorId=56160998600" r:id="rId28"/>
    <hyperlink ref="B34" display="http://www.researcherid.com/rid/P-4281-2016" r:id="rId29"/>
    <hyperlink ref="B35" display="https://publons.com/researcher/5118168/diogo-silveira-mendonca" r:id="rId30"/>
    <hyperlink ref="B36" display="http://www.researcherid.com/rid/H-2402-2018" r:id="rId31"/>
    <hyperlink ref="B37" display="http://www.researcherid.com/rid/N-6438-2014" r:id="rId32"/>
    <hyperlink ref="B38" display="http://www.researcherid.com/rid/AAC-4169-2019" r:id="rId33"/>
    <hyperlink ref="B39" display="https://publons.com/researcher/V-2663-2018/" r:id="rId34"/>
    <hyperlink ref="B40" display="http://www.researcherid.com/rid/H-3227-2018" r:id="rId35"/>
    <hyperlink ref="B41" display="http://www.researcherid.com/rid/O-8069-2016" r:id="rId36"/>
    <hyperlink ref="B42" display="http://www.researcherid.com/rid/O-6246-2016" r:id="rId37"/>
    <hyperlink ref="B43" display="http://www.researcherid.com/rid/A-5553-2018" r:id="rId38"/>
    <hyperlink ref="B44" display="http://www.researcherid.com/rid/H-3218-2018" r:id="rId39"/>
    <hyperlink ref="B45" display="http://www.researcherid.com/rid/O-3981-2018" r:id="rId40"/>
    <hyperlink ref="B46" display="http://www.researcherid.com/rid/F-6102-2015" r:id="rId41"/>
    <hyperlink ref="B47" display="http://www.researcherid.com/rid/Q-4514-2017" r:id="rId42"/>
  </hyperlink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D128"/>
  <sheetViews>
    <sheetView showFormulas="0" showGridLines="1" showRowColHeaders="1" showZeros="1" rightToLeft="0" tabSelected="0" showOutlineSymbols="1" defaultGridColor="1" view="normal" topLeftCell="A22" colorId="64" zoomScale="100" zoomScaleNormal="100" zoomScalePageLayoutView="100" workbookViewId="0">
      <selection pane="topLeft" activeCell="B53" activeCellId="0" sqref="B53"/>
    </sheetView>
  </sheetViews>
  <sheetFormatPr baseColWidth="8" defaultColWidth="11.00390625" defaultRowHeight="15.75" zeroHeight="0" outlineLevelRow="0"/>
  <cols>
    <col width="50.87" customWidth="1" style="175" min="1" max="1"/>
    <col width="18.63" customWidth="1" style="175" min="3" max="3"/>
  </cols>
  <sheetData>
    <row r="1" ht="15.75" customHeight="1" s="144">
      <c r="A1" s="277" t="inlineStr">
        <is>
          <t>NOME</t>
        </is>
      </c>
      <c r="B1" s="277" t="inlineStr">
        <is>
          <t>SITUAÇÃO</t>
        </is>
      </c>
      <c r="C1" s="278" t="inlineStr">
        <is>
          <t>ATUALIZADO EM:</t>
        </is>
      </c>
      <c r="D1" s="279" t="n">
        <v>44551</v>
      </c>
    </row>
    <row r="2" ht="15.75" customHeight="1" s="144">
      <c r="A2" s="175" t="inlineStr">
        <is>
          <t>ABEL SOARES DE QUEIROZ JUNIOR</t>
        </is>
      </c>
      <c r="B2" s="175" t="inlineStr">
        <is>
          <t>Desligado</t>
        </is>
      </c>
    </row>
    <row r="3" ht="15.75" customHeight="1" s="144">
      <c r="A3" s="175" t="inlineStr">
        <is>
          <t>ADALBERTO MINEIRO DE ANDRADE</t>
        </is>
      </c>
      <c r="B3" s="175" t="inlineStr">
        <is>
          <t>Formado</t>
        </is>
      </c>
    </row>
    <row r="4" ht="15.75" customHeight="1" s="144">
      <c r="A4" s="175" t="inlineStr">
        <is>
          <t>ADRIELE CELINA SILVA DE MEDEIROS RIBEIRO</t>
        </is>
      </c>
      <c r="B4" s="175" t="inlineStr">
        <is>
          <t>Desligado</t>
        </is>
      </c>
    </row>
    <row r="5" ht="15.75" customHeight="1" s="144">
      <c r="A5" s="175" t="inlineStr">
        <is>
          <t>AÍQUES RODRIGUES GOMES</t>
        </is>
      </c>
      <c r="B5" s="175" t="inlineStr">
        <is>
          <t>Formado</t>
        </is>
      </c>
    </row>
    <row r="6" ht="15.75" customHeight="1" s="144">
      <c r="A6" s="175" t="inlineStr">
        <is>
          <t>ALAN RODRIGUES FONTOURA</t>
        </is>
      </c>
      <c r="B6" s="175" t="inlineStr">
        <is>
          <t>Formado</t>
        </is>
      </c>
    </row>
    <row r="7" ht="15.75" customHeight="1" s="144">
      <c r="A7" s="175" t="inlineStr">
        <is>
          <t>ALEXANDER BARROS DA SILVA</t>
        </is>
      </c>
      <c r="B7" s="175" t="inlineStr">
        <is>
          <t>Ativo</t>
        </is>
      </c>
    </row>
    <row r="8" ht="15.75" customHeight="1" s="144">
      <c r="A8" s="175" t="inlineStr">
        <is>
          <t>ALEXANDRE EMILIO MANHÃES PARDELINHA</t>
        </is>
      </c>
      <c r="B8" s="175" t="inlineStr">
        <is>
          <t>Ativo</t>
        </is>
      </c>
    </row>
    <row r="9" ht="15.75" customHeight="1" s="144">
      <c r="A9" s="175" t="inlineStr">
        <is>
          <t>ALEXANDRE MARTINS DA CUNHA</t>
        </is>
      </c>
      <c r="B9" s="175" t="inlineStr">
        <is>
          <t>Formado</t>
        </is>
      </c>
    </row>
    <row r="10" ht="15.75" customHeight="1" s="144">
      <c r="A10" s="175" t="inlineStr">
        <is>
          <t>ANA ELISA DO NASCIMENTO BRAZ</t>
        </is>
      </c>
      <c r="B10" s="175" t="inlineStr">
        <is>
          <t>Ativo</t>
        </is>
      </c>
    </row>
    <row r="11" ht="15.75" customHeight="1" s="144">
      <c r="A11" s="175" t="inlineStr">
        <is>
          <t>ANDERSON DE FARIA PINTO</t>
        </is>
      </c>
      <c r="B11" s="175" t="inlineStr">
        <is>
          <t>Desligado</t>
        </is>
      </c>
    </row>
    <row r="12" ht="15.75" customHeight="1" s="144">
      <c r="A12" s="175" t="inlineStr">
        <is>
          <t>ANDERSON NASCIMENTO MANHÃES</t>
        </is>
      </c>
      <c r="B12" s="175" t="inlineStr">
        <is>
          <t>Ativo</t>
        </is>
      </c>
    </row>
    <row r="13" ht="15.75" customHeight="1" s="144">
      <c r="A13" s="175" t="inlineStr">
        <is>
          <t>ANDRÉ CARLOS TEIXEIRA VASCONCELOS</t>
        </is>
      </c>
      <c r="B13" s="175" t="inlineStr">
        <is>
          <t>Ativo</t>
        </is>
      </c>
    </row>
    <row r="14" ht="15.75" customHeight="1" s="144">
      <c r="A14" s="175" t="inlineStr">
        <is>
          <t>ANDRÉ LUÍS NUNES</t>
        </is>
      </c>
      <c r="B14" s="175" t="inlineStr">
        <is>
          <t>Ativo</t>
        </is>
      </c>
    </row>
    <row r="15" ht="15.75" customHeight="1" s="144">
      <c r="A15" s="175" t="inlineStr">
        <is>
          <t>ANDREA CARLA VARGAS RODRIGUES</t>
        </is>
      </c>
      <c r="B15" s="175" t="inlineStr">
        <is>
          <t>Ativo</t>
        </is>
      </c>
    </row>
    <row r="16" ht="15.75" customHeight="1" s="144">
      <c r="A16" s="175" t="inlineStr">
        <is>
          <t>ANGELLICA CARDOSO DE ARAUJO</t>
        </is>
      </c>
      <c r="B16" s="175" t="inlineStr">
        <is>
          <t>Desligado</t>
        </is>
      </c>
    </row>
    <row r="17" ht="15.75" customHeight="1" s="144">
      <c r="A17" s="175" t="inlineStr">
        <is>
          <t>ANTONIO JOSE DE CASTRO FILHO</t>
        </is>
      </c>
      <c r="B17" s="175" t="inlineStr">
        <is>
          <t>Formado</t>
        </is>
      </c>
    </row>
    <row r="18" ht="15.75" customHeight="1" s="144">
      <c r="A18" s="175" t="inlineStr">
        <is>
          <t>ARTHUR RONALD FERREIRA DIOGENES GARCIA</t>
        </is>
      </c>
      <c r="B18" s="175" t="inlineStr">
        <is>
          <t>Ativo</t>
        </is>
      </c>
    </row>
    <row r="19" ht="15.75" customHeight="1" s="144">
      <c r="A19" s="175" t="inlineStr">
        <is>
          <t>ARTHUR SILVEIRA</t>
        </is>
      </c>
      <c r="B19" s="175" t="inlineStr">
        <is>
          <t>Ativo</t>
        </is>
      </c>
    </row>
    <row r="20" ht="15.75" customHeight="1" s="144">
      <c r="A20" s="175" t="inlineStr">
        <is>
          <t>AUGUSTO JOSÉ MOREIRA DA FONSECA</t>
        </is>
      </c>
      <c r="B20" s="175" t="inlineStr">
        <is>
          <t>Ativo</t>
        </is>
      </c>
    </row>
    <row r="21" ht="15.75" customHeight="1" s="144">
      <c r="A21" s="175" t="inlineStr">
        <is>
          <t>AUGUSTO MAGALHÃES PINTO DE MENDONÇA</t>
        </is>
      </c>
      <c r="B21" s="175" t="inlineStr">
        <is>
          <t>Formado</t>
        </is>
      </c>
    </row>
    <row r="22" ht="15.75" customHeight="1" s="144">
      <c r="A22" s="175" t="inlineStr">
        <is>
          <t>BRUNO DAS NEVES CUSTÓDIO</t>
        </is>
      </c>
      <c r="B22" s="175" t="inlineStr">
        <is>
          <t>Desligado</t>
        </is>
      </c>
    </row>
    <row r="23" ht="15.75" customHeight="1" s="144">
      <c r="A23" s="175" t="inlineStr">
        <is>
          <t>CARLOS ALBERTO MARTINS DE SOUZA TELES</t>
        </is>
      </c>
      <c r="B23" s="175" t="inlineStr">
        <is>
          <t>Formado</t>
        </is>
      </c>
    </row>
    <row r="24" ht="15.75" customHeight="1" s="144">
      <c r="A24" s="175" t="inlineStr">
        <is>
          <t>CARLOS ROBERTO GONÇALVES VIANA FILHO</t>
        </is>
      </c>
      <c r="B24" s="175" t="inlineStr">
        <is>
          <t>Formado</t>
        </is>
      </c>
    </row>
    <row r="25" ht="15.75" customHeight="1" s="144">
      <c r="A25" s="175" t="inlineStr">
        <is>
          <t>CAROLINA ZAMITH CUNHA</t>
        </is>
      </c>
      <c r="B25" s="175" t="inlineStr">
        <is>
          <t>Desligado</t>
        </is>
      </c>
    </row>
    <row r="26" ht="15.75" customHeight="1" s="144">
      <c r="A26" s="175" t="inlineStr">
        <is>
          <t>CEDRIC MONTEIRO</t>
        </is>
      </c>
      <c r="B26" s="175" t="inlineStr">
        <is>
          <t>Desligado</t>
        </is>
      </c>
    </row>
    <row r="27" ht="15.75" customHeight="1" s="144">
      <c r="A27" s="175" t="inlineStr">
        <is>
          <t>CRISTIANE GEA</t>
        </is>
      </c>
      <c r="B27" s="175" t="inlineStr">
        <is>
          <t>Ativo</t>
        </is>
      </c>
    </row>
    <row r="28" ht="15.75" customHeight="1" s="144">
      <c r="A28" s="175" t="inlineStr">
        <is>
          <t>DANIEL FERREIRA DE OLIVEIRA</t>
        </is>
      </c>
      <c r="B28" s="175" t="inlineStr">
        <is>
          <t>Formado</t>
        </is>
      </c>
    </row>
    <row r="29" ht="15.75" customHeight="1" s="144">
      <c r="A29" s="175" t="inlineStr">
        <is>
          <t>DANIELLE FONTES DE ALBUQUERQUE</t>
        </is>
      </c>
      <c r="B29" s="175" t="inlineStr">
        <is>
          <t>Ativo</t>
        </is>
      </c>
    </row>
    <row r="30" ht="15.75" customHeight="1" s="144">
      <c r="A30" s="175" t="inlineStr">
        <is>
          <t>DANIELLE RODRIGUES PINNA</t>
        </is>
      </c>
      <c r="B30" s="175" t="inlineStr">
        <is>
          <t>Ativo</t>
        </is>
      </c>
    </row>
    <row r="31" ht="15.75" customHeight="1" s="144">
      <c r="A31" s="175" t="inlineStr">
        <is>
          <t>DAVI BORTOLOTTI BATISTA</t>
        </is>
      </c>
      <c r="B31" s="175" t="inlineStr">
        <is>
          <t>Ativo</t>
        </is>
      </c>
    </row>
    <row r="32" ht="15.75" customHeight="1" s="144">
      <c r="A32" s="175" t="inlineStr">
        <is>
          <t>DIEGO GUIMARAES PEREIRA</t>
        </is>
      </c>
      <c r="B32" s="175" t="inlineStr">
        <is>
          <t>Desligado</t>
        </is>
      </c>
    </row>
    <row r="33" ht="15.75" customHeight="1" s="144">
      <c r="A33" s="175" t="inlineStr">
        <is>
          <t>DIEGO RODRIGUES MOREIRA TOTTE</t>
        </is>
      </c>
      <c r="B33" s="175" t="inlineStr">
        <is>
          <t>Ativo</t>
        </is>
      </c>
    </row>
    <row r="34" ht="15.75" customHeight="1" s="144">
      <c r="A34" s="175" t="inlineStr">
        <is>
          <t>DIEGO SILVA DE SALLES</t>
        </is>
      </c>
      <c r="B34" s="175" t="inlineStr">
        <is>
          <t>Ativo</t>
        </is>
      </c>
    </row>
    <row r="35" ht="15.75" customHeight="1" s="144">
      <c r="A35" s="175" t="inlineStr">
        <is>
          <t>EDUARDO PRIMO DE SOUZA</t>
        </is>
      </c>
      <c r="B35" s="175" t="inlineStr">
        <is>
          <t>Desligado</t>
        </is>
      </c>
    </row>
    <row r="36" ht="15.75" customHeight="1" s="144">
      <c r="A36" s="175" t="inlineStr">
        <is>
          <t>ELLEN PAIXÃO SILVA</t>
        </is>
      </c>
      <c r="B36" s="175" t="inlineStr">
        <is>
          <t>Formado</t>
        </is>
      </c>
    </row>
    <row r="37" ht="15.75" customHeight="1" s="144">
      <c r="A37" s="175" t="inlineStr">
        <is>
          <t>ÉRICA CARNEIRO QUEIROZ DA SILVA</t>
        </is>
      </c>
      <c r="B37" s="175" t="inlineStr">
        <is>
          <t>Ativo</t>
        </is>
      </c>
    </row>
    <row r="38" ht="15.75" customHeight="1" s="144">
      <c r="A38" s="175" t="inlineStr">
        <is>
          <t>FELIPE DE AVILA TAVARES</t>
        </is>
      </c>
      <c r="B38" s="175" t="inlineStr">
        <is>
          <t>Desligado</t>
        </is>
      </c>
    </row>
    <row r="39" ht="15.75" customHeight="1" s="144">
      <c r="A39" s="175" t="inlineStr">
        <is>
          <t>FELIPE DE PAULA NOBREGA SENA DA SILVA</t>
        </is>
      </c>
      <c r="B39" s="175" t="inlineStr">
        <is>
          <t>Desligado</t>
        </is>
      </c>
    </row>
    <row r="40" ht="15.75" customHeight="1" s="144">
      <c r="A40" s="175" t="inlineStr">
        <is>
          <t>FELIPE MELLO FONSECA</t>
        </is>
      </c>
      <c r="B40" s="175" t="inlineStr">
        <is>
          <t>Ativo</t>
        </is>
      </c>
    </row>
    <row r="41" ht="15.75" customHeight="1" s="144">
      <c r="A41" s="175" t="inlineStr">
        <is>
          <t>FELIPE OLIVEIRA FEDER</t>
        </is>
      </c>
      <c r="B41" s="175" t="inlineStr">
        <is>
          <t>Ativo</t>
        </is>
      </c>
    </row>
    <row r="42" ht="15.75" customHeight="1" s="144">
      <c r="A42" s="175" t="inlineStr">
        <is>
          <t>FERNANDO PEREIRA GONÇALVES DE SÁ</t>
        </is>
      </c>
      <c r="B42" s="175" t="inlineStr">
        <is>
          <t>Formado</t>
        </is>
      </c>
    </row>
    <row r="43" ht="15.75" customHeight="1" s="144">
      <c r="A43" s="175" t="inlineStr">
        <is>
          <t>FLAVIO MATIAS DAMASCENO DE CARVALHO</t>
        </is>
      </c>
      <c r="B43" s="175" t="inlineStr">
        <is>
          <t>Formado</t>
        </is>
      </c>
    </row>
    <row r="44" ht="15.75" customHeight="1" s="144">
      <c r="A44" s="175" t="inlineStr">
        <is>
          <t>FLAVIO PINHEIRO MARQUES</t>
        </is>
      </c>
      <c r="B44" s="175" t="inlineStr">
        <is>
          <t>Ativo</t>
        </is>
      </c>
    </row>
    <row r="45" ht="15.75" customHeight="1" s="144">
      <c r="A45" s="175" t="inlineStr">
        <is>
          <t>FRANCIMARY PROCÓPIO GARCIA DE OLIVEIRA</t>
        </is>
      </c>
      <c r="B45" s="175" t="inlineStr">
        <is>
          <t>Formado</t>
        </is>
      </c>
    </row>
    <row r="46" ht="15.75" customHeight="1" s="144">
      <c r="A46" s="175" t="inlineStr">
        <is>
          <t>GABRIEL EDUARDO FEITOSA LIMA</t>
        </is>
      </c>
      <c r="B46" s="175" t="inlineStr">
        <is>
          <t>Desligado</t>
        </is>
      </c>
    </row>
    <row r="47" ht="15.75" customHeight="1" s="144">
      <c r="A47" s="175" t="inlineStr">
        <is>
          <t>GABRIEL NASCIMENTO DO SANTOS</t>
        </is>
      </c>
      <c r="B47" s="175" t="inlineStr">
        <is>
          <t>Formado</t>
        </is>
      </c>
    </row>
    <row r="48" ht="15.75" customHeight="1" s="144">
      <c r="A48" s="175" t="inlineStr">
        <is>
          <t>GABRIEL PORTUGAL GUADELUPE DOS SANTOS</t>
        </is>
      </c>
      <c r="B48" s="175" t="inlineStr">
        <is>
          <t>Ativo</t>
        </is>
      </c>
    </row>
    <row r="49" ht="15.75" customHeight="1" s="144">
      <c r="A49" s="175" t="inlineStr">
        <is>
          <t>GABRIELLE DA SILVA PEREIRA</t>
        </is>
      </c>
      <c r="B49" s="175" t="inlineStr">
        <is>
          <t>Ativo</t>
        </is>
      </c>
    </row>
    <row r="50" ht="15.75" customHeight="1" s="144">
      <c r="A50" s="175" t="inlineStr">
        <is>
          <t>GUSTAVO ALEXANDRE SOUSA SANTOS</t>
        </is>
      </c>
      <c r="B50" s="175" t="inlineStr">
        <is>
          <t>Formado</t>
        </is>
      </c>
    </row>
    <row r="51" ht="15.75" customHeight="1" s="144">
      <c r="A51" s="175" t="inlineStr">
        <is>
          <t>GUSTAVO PACHECO EPIFANIO</t>
        </is>
      </c>
      <c r="B51" s="175" t="inlineStr">
        <is>
          <t>Formado</t>
        </is>
      </c>
    </row>
    <row r="52" ht="15.75" customHeight="1" s="144">
      <c r="A52" s="175" t="inlineStr">
        <is>
          <t>HELDER YUKIO OKUNO</t>
        </is>
      </c>
      <c r="B52" s="175" t="inlineStr">
        <is>
          <t>Ativo</t>
        </is>
      </c>
    </row>
    <row r="53" ht="15.75" customHeight="1" s="144">
      <c r="A53" s="175" t="inlineStr">
        <is>
          <t>IGOR DA SILVA MORAIS</t>
        </is>
      </c>
      <c r="B53" s="175" t="inlineStr">
        <is>
          <t>Formado</t>
        </is>
      </c>
    </row>
    <row r="54" ht="15.75" customHeight="1" s="144">
      <c r="A54" s="175" t="inlineStr">
        <is>
          <t>IRAN DE ALVARENGA CIDADE</t>
        </is>
      </c>
      <c r="B54" s="175" t="inlineStr">
        <is>
          <t>Ativo</t>
        </is>
      </c>
    </row>
    <row r="55" ht="15.75" customHeight="1" s="144">
      <c r="A55" s="175" t="inlineStr">
        <is>
          <t>IVAIR NOBREGA LUQUES</t>
        </is>
      </c>
      <c r="B55" s="175" t="inlineStr">
        <is>
          <t>Formado</t>
        </is>
      </c>
    </row>
    <row r="56" ht="15.75" customHeight="1" s="144">
      <c r="A56" s="175" t="inlineStr">
        <is>
          <t>IVSON GONÇALVES DA SILVA</t>
        </is>
      </c>
      <c r="B56" s="175" t="inlineStr">
        <is>
          <t>Ativo</t>
        </is>
      </c>
    </row>
    <row r="57" ht="15.75" customHeight="1" s="144">
      <c r="A57" s="175" t="inlineStr">
        <is>
          <t>JANIO DE SOUZA LIMA</t>
        </is>
      </c>
      <c r="B57" s="175" t="inlineStr">
        <is>
          <t>Ativo</t>
        </is>
      </c>
    </row>
    <row r="58" ht="15.75" customHeight="1" s="144">
      <c r="A58" s="175" t="inlineStr">
        <is>
          <t>JEFERSON COLARES DE PAULA</t>
        </is>
      </c>
      <c r="B58" s="175" t="inlineStr">
        <is>
          <t>Formado</t>
        </is>
      </c>
    </row>
    <row r="59" ht="15.75" customHeight="1" s="144">
      <c r="A59" s="175" t="inlineStr">
        <is>
          <t>JÉSSICA DA SILVA COSTA</t>
        </is>
      </c>
      <c r="B59" s="175" t="inlineStr">
        <is>
          <t>Ativo</t>
        </is>
      </c>
    </row>
    <row r="60" ht="15.75" customHeight="1" s="144">
      <c r="A60" s="175" t="inlineStr">
        <is>
          <t>JOÃO ANTONIO FERREIRA</t>
        </is>
      </c>
      <c r="B60" s="175" t="inlineStr">
        <is>
          <t>Formado</t>
        </is>
      </c>
    </row>
    <row r="61" ht="15.75" customHeight="1" s="144">
      <c r="A61" s="175" t="inlineStr">
        <is>
          <t>JOÃO VICTOR GUINELLI DA SILVA</t>
        </is>
      </c>
      <c r="B61" s="175" t="inlineStr">
        <is>
          <t>Ativo</t>
        </is>
      </c>
    </row>
    <row r="62" ht="15.75" customHeight="1" s="144">
      <c r="A62" s="175" t="inlineStr">
        <is>
          <t>JOMAR FERREIRA MONSORES</t>
        </is>
      </c>
      <c r="B62" s="175" t="inlineStr">
        <is>
          <t>Formado</t>
        </is>
      </c>
    </row>
    <row r="63" ht="15.75" customHeight="1" s="144">
      <c r="A63" s="175" t="inlineStr">
        <is>
          <t>JORGE AUGUSTO GOMES DE BRITO</t>
        </is>
      </c>
      <c r="B63" s="175" t="inlineStr">
        <is>
          <t>Desligado</t>
        </is>
      </c>
    </row>
    <row r="64" ht="15.75" customHeight="1" s="144">
      <c r="A64" s="175" t="inlineStr">
        <is>
          <t>JORGE EUGENIO MEDEIROS ANSELMO</t>
        </is>
      </c>
      <c r="B64" s="175" t="inlineStr">
        <is>
          <t>Ativo</t>
        </is>
      </c>
    </row>
    <row r="65" ht="15.75" customHeight="1" s="144">
      <c r="A65" s="175" t="inlineStr">
        <is>
          <t>KARINA BRANDÃO CANDIDO DA SILVA</t>
        </is>
      </c>
      <c r="B65" s="175" t="inlineStr">
        <is>
          <t>Ativo</t>
        </is>
      </c>
    </row>
    <row r="66" ht="15.75" customHeight="1" s="144">
      <c r="A66" s="175" t="inlineStr">
        <is>
          <t>LEANDRO DE SOUZA LIMA CHERNICHARO</t>
        </is>
      </c>
      <c r="B66" s="175" t="inlineStr">
        <is>
          <t>Ativo</t>
        </is>
      </c>
    </row>
    <row r="67" ht="15.75" customHeight="1" s="144">
      <c r="A67" s="175" t="inlineStr">
        <is>
          <t>LEANDRO MAIA GONÇALVES</t>
        </is>
      </c>
      <c r="B67" s="175" t="inlineStr">
        <is>
          <t>Formado</t>
        </is>
      </c>
    </row>
    <row r="68" ht="15.75" customHeight="1" s="144">
      <c r="A68" s="175" t="inlineStr">
        <is>
          <t>LEON VICTOR MEDEIROS DE LIMA</t>
        </is>
      </c>
      <c r="B68" s="175" t="inlineStr">
        <is>
          <t>Ativo</t>
        </is>
      </c>
    </row>
    <row r="69" ht="15.75" customHeight="1" s="144">
      <c r="A69" s="175" t="inlineStr">
        <is>
          <t>LEONARDO DA SILVA MOREIRA</t>
        </is>
      </c>
      <c r="B69" s="175" t="inlineStr">
        <is>
          <t>Formado</t>
        </is>
      </c>
    </row>
    <row r="70" ht="15.75" customHeight="1" s="144">
      <c r="A70" s="175" t="inlineStr">
        <is>
          <t>LEONARDO DE SOUZA PREUSS</t>
        </is>
      </c>
      <c r="B70" s="175" t="inlineStr">
        <is>
          <t>Formado</t>
        </is>
      </c>
    </row>
    <row r="71" ht="15.75" customHeight="1" s="144">
      <c r="A71" s="175" t="inlineStr">
        <is>
          <t>LEONARDO FERREIRA DOS SANTOS</t>
        </is>
      </c>
      <c r="B71" s="175" t="inlineStr">
        <is>
          <t>Formado</t>
        </is>
      </c>
    </row>
    <row r="72" ht="15.75" customHeight="1" s="144">
      <c r="A72" s="175" t="inlineStr">
        <is>
          <t>LISS DE FATIMA FRANCOISE MOREIRA GRILLO FAULHABER</t>
        </is>
      </c>
      <c r="B72" s="175" t="inlineStr">
        <is>
          <t>Ativo</t>
        </is>
      </c>
    </row>
    <row r="73" ht="15.75" customHeight="1" s="144">
      <c r="A73" s="175" t="inlineStr">
        <is>
          <t>LUCAS FERREIRA PINHEIRO</t>
        </is>
      </c>
      <c r="B73" s="175" t="inlineStr">
        <is>
          <t>Ativo</t>
        </is>
      </c>
    </row>
    <row r="74" ht="15.75" customHeight="1" s="144">
      <c r="A74" s="175" t="inlineStr">
        <is>
          <t>LUCAS GIUSTI TAVARES</t>
        </is>
      </c>
      <c r="B74" s="175" t="inlineStr">
        <is>
          <t>Formado</t>
        </is>
      </c>
    </row>
    <row r="75" ht="15.75" customHeight="1" s="144">
      <c r="A75" s="175" t="inlineStr">
        <is>
          <t>LUCAS VITAL MOREIRA</t>
        </is>
      </c>
      <c r="B75" s="175" t="inlineStr">
        <is>
          <t>Desligado</t>
        </is>
      </c>
    </row>
    <row r="76" ht="15.75" customHeight="1" s="144">
      <c r="A76" s="175" t="inlineStr">
        <is>
          <t>LUCIANA DA COSTA VARJOLO</t>
        </is>
      </c>
      <c r="B76" s="175" t="inlineStr">
        <is>
          <t>Ativo</t>
        </is>
      </c>
    </row>
    <row r="77" ht="15.75" customHeight="1" s="144">
      <c r="A77" s="175" t="inlineStr">
        <is>
          <t>LUCIANA ESCOBAR GONÇALVES VIGNOLI</t>
        </is>
      </c>
      <c r="B77" s="175" t="inlineStr">
        <is>
          <t>Formado</t>
        </is>
      </c>
    </row>
    <row r="78" ht="15.75" customHeight="1" s="144">
      <c r="A78" s="175" t="inlineStr">
        <is>
          <t>LUIS BARBOSA DE ASSIS JUNIOR</t>
        </is>
      </c>
      <c r="B78" s="175" t="inlineStr">
        <is>
          <t>Ativo</t>
        </is>
      </c>
    </row>
    <row r="79" ht="15.75" customHeight="1" s="144">
      <c r="A79" s="175" t="inlineStr">
        <is>
          <t>LUIS CARLOS RAMOS ALVARENGA</t>
        </is>
      </c>
      <c r="B79" s="175" t="inlineStr">
        <is>
          <t>Ativo</t>
        </is>
      </c>
    </row>
    <row r="80" ht="15.75" customHeight="1" s="144">
      <c r="A80" s="175" t="inlineStr">
        <is>
          <t>LUIZ AUGUSTO DE SOUZA PERCILIANO</t>
        </is>
      </c>
      <c r="B80" s="175" t="inlineStr">
        <is>
          <t>Ativo</t>
        </is>
      </c>
    </row>
    <row r="81" ht="15.75" customHeight="1" s="144">
      <c r="A81" s="175" t="inlineStr">
        <is>
          <t>LUIZ GUSTAVO MILFONT PEREIRA</t>
        </is>
      </c>
      <c r="B81" s="175" t="inlineStr">
        <is>
          <t>Desligado</t>
        </is>
      </c>
    </row>
    <row r="82" ht="15.75" customHeight="1" s="144">
      <c r="A82" s="175" t="inlineStr">
        <is>
          <t>LUIZ VITOR TAVARES VAZ FERREIRA</t>
        </is>
      </c>
      <c r="B82" s="175" t="inlineStr">
        <is>
          <t>Desligado</t>
        </is>
      </c>
    </row>
    <row r="83" ht="15.75" customHeight="1" s="144">
      <c r="A83" s="175" t="inlineStr">
        <is>
          <t>MANOEL GUILHERME DE FARIA MORAES</t>
        </is>
      </c>
      <c r="B83" s="175" t="inlineStr">
        <is>
          <t>Desligado</t>
        </is>
      </c>
    </row>
    <row r="84" ht="15.75" customHeight="1" s="144">
      <c r="A84" s="175" t="inlineStr">
        <is>
          <t>MARCELLO ALBERTO SOARES SERQUEIRA</t>
        </is>
      </c>
      <c r="B84" s="175" t="inlineStr">
        <is>
          <t>Formado</t>
        </is>
      </c>
    </row>
    <row r="85" ht="15.75" customHeight="1" s="144">
      <c r="A85" s="175" t="inlineStr">
        <is>
          <t>MARCELO LUÍS MOREIRA</t>
        </is>
      </c>
      <c r="B85" s="175" t="inlineStr">
        <is>
          <t>Ativo</t>
        </is>
      </c>
    </row>
    <row r="86" ht="15.75" customHeight="1" s="144">
      <c r="A86" s="175" t="inlineStr">
        <is>
          <t>MARCIO LOPES GONZALEZ</t>
        </is>
      </c>
      <c r="B86" s="175" t="inlineStr">
        <is>
          <t>Desligado</t>
        </is>
      </c>
    </row>
    <row r="87" ht="15.75" customHeight="1" s="144">
      <c r="A87" s="175" t="inlineStr">
        <is>
          <t>MATEUS DO AMOR DEVINO PEREIRA</t>
        </is>
      </c>
      <c r="B87" s="175" t="inlineStr">
        <is>
          <t>Ativo</t>
        </is>
      </c>
    </row>
    <row r="88" ht="15.75" customHeight="1" s="144">
      <c r="A88" s="175" t="inlineStr">
        <is>
          <t>MICHEL MORAIS FERREIRA</t>
        </is>
      </c>
      <c r="B88" s="175" t="inlineStr">
        <is>
          <t>Ativo</t>
        </is>
      </c>
    </row>
    <row r="89" ht="15.75" customHeight="1" s="144">
      <c r="A89" s="175" t="inlineStr">
        <is>
          <t>NADINNE GUIMARAES HOLANDA</t>
        </is>
      </c>
      <c r="B89" s="175" t="inlineStr">
        <is>
          <t>Ativo</t>
        </is>
      </c>
    </row>
    <row r="90" ht="15.75" customHeight="1" s="144">
      <c r="A90" s="175" t="inlineStr">
        <is>
          <t>NATÁLIA NUNES VIEIRA</t>
        </is>
      </c>
      <c r="B90" s="175" t="inlineStr">
        <is>
          <t>Ativo</t>
        </is>
      </c>
    </row>
    <row r="91" ht="15.75" customHeight="1" s="144">
      <c r="A91" s="175" t="inlineStr">
        <is>
          <t>PAULO JOSÉ DE CASTRO PESTANA JUNIOR</t>
        </is>
      </c>
      <c r="B91" s="175" t="inlineStr">
        <is>
          <t>Ativo</t>
        </is>
      </c>
    </row>
    <row r="92" ht="15.75" customHeight="1" s="144">
      <c r="A92" s="175" t="inlineStr">
        <is>
          <t>PEDRO FONTES MONTANO</t>
        </is>
      </c>
      <c r="B92" s="175" t="inlineStr">
        <is>
          <t>Desligado</t>
        </is>
      </c>
    </row>
    <row r="93" ht="15.75" customHeight="1" s="144">
      <c r="A93" s="175" t="inlineStr">
        <is>
          <t>RAFAEL ASSIS MELLO PEREIRA DIAS</t>
        </is>
      </c>
      <c r="B93" s="175" t="inlineStr">
        <is>
          <t>Ativo</t>
        </is>
      </c>
    </row>
    <row r="94" ht="15.75" customHeight="1" s="144">
      <c r="A94" s="175" t="inlineStr">
        <is>
          <t>RAFAEL GUIMARÃES RODRIGUES</t>
        </is>
      </c>
      <c r="B94" s="175" t="inlineStr">
        <is>
          <t>Formado</t>
        </is>
      </c>
    </row>
    <row r="95" ht="15.75" customHeight="1" s="144">
      <c r="A95" s="175" t="inlineStr">
        <is>
          <t>RAFAELA DE CASTRO  DO NASCIMENTO</t>
        </is>
      </c>
      <c r="B95" s="175" t="inlineStr">
        <is>
          <t>Formado</t>
        </is>
      </c>
    </row>
    <row r="96" ht="15.75" customHeight="1" s="144">
      <c r="A96" s="175" t="inlineStr">
        <is>
          <t>RAMON FERREIRA SILVA</t>
        </is>
      </c>
      <c r="B96" s="175" t="inlineStr">
        <is>
          <t>Formado</t>
        </is>
      </c>
    </row>
    <row r="97" ht="15.75" customHeight="1" s="144">
      <c r="A97" s="175" t="inlineStr">
        <is>
          <t>RAPHAEL CORREIA DE SOUZA FIALHO</t>
        </is>
      </c>
      <c r="B97" s="175" t="inlineStr">
        <is>
          <t>Formado</t>
        </is>
      </c>
    </row>
    <row r="98" ht="15.75" customHeight="1" s="144">
      <c r="A98" s="175" t="inlineStr">
        <is>
          <t>RAPHAEL DANTAS DE OLIVEIRA PEREIRA</t>
        </is>
      </c>
      <c r="B98" s="175" t="inlineStr">
        <is>
          <t>Desligado</t>
        </is>
      </c>
    </row>
    <row r="99" ht="15.75" customHeight="1" s="144">
      <c r="A99" s="175" t="inlineStr">
        <is>
          <t>RAPHAEL DO NASCIMENTO MARTNS</t>
        </is>
      </c>
      <c r="B99" s="175" t="inlineStr">
        <is>
          <t>Desligado</t>
        </is>
      </c>
    </row>
    <row r="100" ht="15.75" customHeight="1" s="144">
      <c r="A100" s="175" t="inlineStr">
        <is>
          <t>RAPHAEL SILVA DE ABREU</t>
        </is>
      </c>
      <c r="B100" s="175" t="inlineStr">
        <is>
          <t>Formado</t>
        </is>
      </c>
    </row>
    <row r="101" ht="15.75" customHeight="1" s="144">
      <c r="A101" s="175" t="inlineStr">
        <is>
          <t>REBECCA PONTES SALLES</t>
        </is>
      </c>
      <c r="B101" s="175" t="inlineStr">
        <is>
          <t>Formado</t>
        </is>
      </c>
    </row>
    <row r="102" ht="15.75" customHeight="1" s="144">
      <c r="A102" s="175" t="inlineStr">
        <is>
          <t>RENATA FONSECA DA SILVA</t>
        </is>
      </c>
      <c r="B102" s="175" t="inlineStr">
        <is>
          <t>Ativo</t>
        </is>
      </c>
    </row>
    <row r="103" ht="15.75" customHeight="1" s="144">
      <c r="A103" s="175" t="inlineStr">
        <is>
          <t>RENATO DE OLIVEIRA RODRIGUES</t>
        </is>
      </c>
      <c r="B103" s="175" t="inlineStr">
        <is>
          <t>Ativo</t>
        </is>
      </c>
    </row>
    <row r="104" ht="15.75" customHeight="1" s="144">
      <c r="A104" s="175" t="inlineStr">
        <is>
          <t>RIBAMAR SANTOS FERREIRA MATIAS</t>
        </is>
      </c>
      <c r="B104" s="175" t="inlineStr">
        <is>
          <t>Formado</t>
        </is>
      </c>
    </row>
    <row r="105" ht="15.75" customHeight="1" s="144">
      <c r="A105" s="175" t="inlineStr">
        <is>
          <t>RICARDO LUIZ PEREIRA MACEIRA</t>
        </is>
      </c>
      <c r="B105" s="175" t="inlineStr">
        <is>
          <t>Ativo</t>
        </is>
      </c>
    </row>
    <row r="106" ht="15.75" customHeight="1" s="144">
      <c r="A106" s="175" t="inlineStr">
        <is>
          <t>ROBERTO DA SILVA GERVASIO PONTES</t>
        </is>
      </c>
      <c r="B106" s="175" t="inlineStr">
        <is>
          <t>Ativo</t>
        </is>
      </c>
    </row>
    <row r="107" ht="15.75" customHeight="1" s="144">
      <c r="A107" s="175" t="inlineStr">
        <is>
          <t>ROBERTO DE CASTRO SOUZA PINTO</t>
        </is>
      </c>
      <c r="B107" s="175" t="inlineStr">
        <is>
          <t>Formado</t>
        </is>
      </c>
    </row>
    <row r="108" ht="15.75" customHeight="1" s="144">
      <c r="A108" s="175" t="inlineStr">
        <is>
          <t>RODOLPHO DA SILVA NASCIMENTO</t>
        </is>
      </c>
      <c r="B108" s="175" t="inlineStr">
        <is>
          <t>Formado</t>
        </is>
      </c>
    </row>
    <row r="109" ht="15.75" customHeight="1" s="144">
      <c r="A109" s="175" t="inlineStr">
        <is>
          <t>RODRIGO PEREIRA HAMACHER</t>
        </is>
      </c>
      <c r="B109" s="175" t="inlineStr">
        <is>
          <t>Ativo</t>
        </is>
      </c>
    </row>
    <row r="110" ht="15.75" customHeight="1" s="144">
      <c r="A110" s="175" t="inlineStr">
        <is>
          <t>RODRIGO TAVARES DE SOUZA</t>
        </is>
      </c>
      <c r="B110" s="175" t="inlineStr">
        <is>
          <t>Formado</t>
        </is>
      </c>
    </row>
    <row r="111" ht="15.75" customHeight="1" s="144">
      <c r="A111" s="175" t="inlineStr">
        <is>
          <t>RYAN DUTRA DE ABREU</t>
        </is>
      </c>
      <c r="B111" s="175" t="inlineStr">
        <is>
          <t>Ativo</t>
        </is>
      </c>
    </row>
    <row r="112" ht="15.75" customHeight="1" s="144">
      <c r="A112" s="175" t="inlineStr">
        <is>
          <t>SARAH RIBEIRO LISBOA CARNEIRO</t>
        </is>
      </c>
      <c r="B112" s="175" t="inlineStr">
        <is>
          <t>Ativo</t>
        </is>
      </c>
    </row>
    <row r="113" ht="15.75" customHeight="1" s="144">
      <c r="A113" s="175" t="inlineStr">
        <is>
          <t>SÉRGIO LUIZ MOORE JUNIOR</t>
        </is>
      </c>
      <c r="B113" s="175" t="inlineStr">
        <is>
          <t>Desligado</t>
        </is>
      </c>
    </row>
    <row r="114" ht="15.75" customHeight="1" s="144">
      <c r="A114" s="175" t="inlineStr">
        <is>
          <t>SIDICLEY GONÇALVES BARBOSA</t>
        </is>
      </c>
      <c r="B114" s="175" t="inlineStr">
        <is>
          <t>Desligado</t>
        </is>
      </c>
    </row>
    <row r="115" ht="15.75" customHeight="1" s="144">
      <c r="A115" s="175" t="inlineStr">
        <is>
          <t>SIDNEY BASTOS PEREIRA MOTTA</t>
        </is>
      </c>
      <c r="B115" s="175" t="inlineStr">
        <is>
          <t>Desligado</t>
        </is>
      </c>
    </row>
    <row r="116" ht="15.75" customHeight="1" s="144">
      <c r="A116" s="175" t="inlineStr">
        <is>
          <t>SOLANGE SANTOLIN</t>
        </is>
      </c>
      <c r="B116" s="175" t="inlineStr">
        <is>
          <t>Desligado</t>
        </is>
      </c>
    </row>
    <row r="117" ht="15.75" customHeight="1" s="144">
      <c r="A117" s="175" t="inlineStr">
        <is>
          <t>TACITO BRAGA ARARIPE</t>
        </is>
      </c>
      <c r="B117" s="175" t="inlineStr">
        <is>
          <t>Ativo</t>
        </is>
      </c>
    </row>
    <row r="118" ht="15.75" customHeight="1" s="144">
      <c r="A118" s="175" t="inlineStr">
        <is>
          <t>THIAGO BARRAL FERNANDES REIS</t>
        </is>
      </c>
      <c r="B118" s="175" t="inlineStr">
        <is>
          <t>Ativo</t>
        </is>
      </c>
    </row>
    <row r="119" ht="15.75" customHeight="1" s="144">
      <c r="A119" s="175" t="inlineStr">
        <is>
          <t>THIAGO DA SILVA PEREIRA</t>
        </is>
      </c>
      <c r="B119" s="175" t="inlineStr">
        <is>
          <t>Formado</t>
        </is>
      </c>
    </row>
    <row r="120" ht="15.75" customHeight="1" s="144">
      <c r="A120" s="175" t="inlineStr">
        <is>
          <t>THIAGO RANGEL PESSET GONZAGA</t>
        </is>
      </c>
      <c r="B120" s="175" t="inlineStr">
        <is>
          <t>Ativo</t>
        </is>
      </c>
    </row>
    <row r="121" ht="15.75" customHeight="1" s="144">
      <c r="A121" s="175" t="inlineStr">
        <is>
          <t>THIAGO SOARES DE PAULA</t>
        </is>
      </c>
      <c r="B121" s="175" t="inlineStr">
        <is>
          <t>Ativo</t>
        </is>
      </c>
    </row>
    <row r="122" ht="15.75" customHeight="1" s="144">
      <c r="A122" s="175" t="inlineStr">
        <is>
          <t>URIEL MEROLA MINAGÉ E SILVA</t>
        </is>
      </c>
      <c r="B122" s="175" t="inlineStr">
        <is>
          <t>Ativo</t>
        </is>
      </c>
    </row>
    <row r="123" ht="15.75" customHeight="1" s="144">
      <c r="A123" s="175" t="inlineStr">
        <is>
          <t>VINICIUS DOS SANTOS VANCELLOTE ALMEIDA</t>
        </is>
      </c>
      <c r="B123" s="175" t="inlineStr">
        <is>
          <t>Ativo</t>
        </is>
      </c>
    </row>
    <row r="124" ht="15.75" customHeight="1" s="144">
      <c r="A124" s="175" t="inlineStr">
        <is>
          <t>VINICIUS SOARES DOS SANTOS</t>
        </is>
      </c>
      <c r="B124" s="175" t="inlineStr">
        <is>
          <t>Ativo</t>
        </is>
      </c>
    </row>
    <row r="125" ht="15.75" customHeight="1" s="144">
      <c r="A125" s="175" t="inlineStr">
        <is>
          <t>WELLINGTON SOUZA AMARAL</t>
        </is>
      </c>
      <c r="B125" s="175" t="inlineStr">
        <is>
          <t>Formado</t>
        </is>
      </c>
    </row>
    <row r="126" ht="15.75" customHeight="1" s="144">
      <c r="A126" s="175" t="inlineStr">
        <is>
          <t>WILLIAN PITTER CARDOSO LIMA</t>
        </is>
      </c>
      <c r="B126" s="175" t="inlineStr">
        <is>
          <t>Ativo</t>
        </is>
      </c>
    </row>
    <row r="127" ht="15.75" customHeight="1" s="144">
      <c r="A127" s="175" t="inlineStr">
        <is>
          <t>WILSON PAZ DA SILVA</t>
        </is>
      </c>
      <c r="B127" s="175" t="inlineStr">
        <is>
          <t>Desligado</t>
        </is>
      </c>
    </row>
    <row r="128" ht="15.75" customHeight="1" s="144">
      <c r="A128" s="175" t="inlineStr">
        <is>
          <t>WLADIMIR WANDERLEY PEREIRA</t>
        </is>
      </c>
      <c r="B128" s="175" t="inlineStr">
        <is>
          <t>Desligado</t>
        </is>
      </c>
    </row>
  </sheetData>
  <autoFilter ref="A1:B1">
    <sortState ref="A2:B1">
      <sortCondition ref="A2:A1" customList=""/>
    </sortState>
  </autoFilter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E1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9" activeCellId="0" sqref="B9"/>
    </sheetView>
  </sheetViews>
  <sheetFormatPr baseColWidth="8" defaultColWidth="11.00390625" defaultRowHeight="15.75" zeroHeight="0" outlineLevelRow="0"/>
  <cols>
    <col width="50.87" customWidth="1" style="175" min="1" max="1"/>
    <col width="14.87" customWidth="1" style="175" min="2" max="3"/>
    <col width="18.63" customWidth="1" style="175" min="4" max="4"/>
  </cols>
  <sheetData>
    <row r="1" ht="15.75" customHeight="1" s="144">
      <c r="A1" s="277" t="inlineStr">
        <is>
          <t>NOME</t>
        </is>
      </c>
      <c r="B1" s="277" t="inlineStr">
        <is>
          <t>SITUAÇÃO</t>
        </is>
      </c>
      <c r="C1" s="277" t="inlineStr">
        <is>
          <t>ANOS</t>
        </is>
      </c>
      <c r="D1" s="278" t="inlineStr">
        <is>
          <t>ATUALIZADO EM:</t>
        </is>
      </c>
      <c r="E1" s="279" t="n">
        <v>44717</v>
      </c>
    </row>
    <row r="2" ht="15.75" customHeight="1" s="144">
      <c r="A2" s="175" t="inlineStr">
        <is>
          <t>Diego Brandão</t>
        </is>
      </c>
      <c r="B2" s="175" t="inlineStr">
        <is>
          <t>Permanente</t>
        </is>
      </c>
      <c r="C2" s="150" t="inlineStr">
        <is>
          <t xml:space="preserve">2016 - </t>
        </is>
      </c>
    </row>
    <row r="3" ht="15.75" customHeight="1" s="144">
      <c r="A3" s="175" t="inlineStr">
        <is>
          <t>Diego Haddad</t>
        </is>
      </c>
      <c r="B3" s="175" t="inlineStr">
        <is>
          <t>-</t>
        </is>
      </c>
      <c r="C3" s="150" t="inlineStr">
        <is>
          <t>2016 - 2021</t>
        </is>
      </c>
    </row>
    <row r="4" ht="15.75" customHeight="1" s="144">
      <c r="A4" s="175" t="inlineStr">
        <is>
          <t>Diogo Mendonça</t>
        </is>
      </c>
      <c r="B4" s="175" t="inlineStr">
        <is>
          <t>Colaborador</t>
        </is>
      </c>
      <c r="C4" s="280" t="inlineStr">
        <is>
          <t xml:space="preserve">2021 - </t>
        </is>
      </c>
    </row>
    <row r="5" ht="15.75" customHeight="1" s="144">
      <c r="A5" s="175" t="inlineStr">
        <is>
          <t>Eduardo Bezerra</t>
        </is>
      </c>
      <c r="B5" s="175" t="inlineStr">
        <is>
          <t>Permanente</t>
        </is>
      </c>
      <c r="C5" s="150" t="inlineStr">
        <is>
          <t xml:space="preserve">2016 - </t>
        </is>
      </c>
    </row>
    <row r="6" ht="15.75" customHeight="1" s="144">
      <c r="A6" s="175" t="inlineStr">
        <is>
          <t>Eduardo Ogasawara</t>
        </is>
      </c>
      <c r="B6" s="175" t="inlineStr">
        <is>
          <t>Permanente</t>
        </is>
      </c>
      <c r="C6" s="150" t="inlineStr">
        <is>
          <t xml:space="preserve">2016 - </t>
        </is>
      </c>
    </row>
    <row r="7" ht="15.75" customHeight="1" s="144">
      <c r="A7" s="175" t="inlineStr">
        <is>
          <t>Felipe Henriques</t>
        </is>
      </c>
      <c r="B7" s="175" t="inlineStr">
        <is>
          <t>Permanente</t>
        </is>
      </c>
      <c r="C7" s="150" t="inlineStr">
        <is>
          <t xml:space="preserve">2020 - </t>
        </is>
      </c>
    </row>
    <row r="8" ht="15.75" customHeight="1" s="144">
      <c r="A8" s="175" t="inlineStr">
        <is>
          <t>Glauco Amorim</t>
        </is>
      </c>
      <c r="B8" s="175" t="inlineStr">
        <is>
          <t>Colaborador</t>
        </is>
      </c>
      <c r="C8" s="280" t="inlineStr">
        <is>
          <t xml:space="preserve">2021 - </t>
        </is>
      </c>
    </row>
    <row r="9" ht="15.75" customHeight="1" s="144">
      <c r="A9" s="175" t="inlineStr">
        <is>
          <t>Gustavo Guedes</t>
        </is>
      </c>
      <c r="B9" s="175" t="inlineStr">
        <is>
          <t>Permanente</t>
        </is>
      </c>
      <c r="C9" s="280" t="inlineStr">
        <is>
          <t xml:space="preserve">2016 - </t>
        </is>
      </c>
    </row>
    <row r="10" ht="15.75" customHeight="1" s="144">
      <c r="A10" s="175" t="inlineStr">
        <is>
          <t>João Quadros</t>
        </is>
      </c>
      <c r="B10" s="175" t="inlineStr">
        <is>
          <t>Permanente</t>
        </is>
      </c>
      <c r="C10" s="280" t="inlineStr">
        <is>
          <t xml:space="preserve">2016 - </t>
        </is>
      </c>
    </row>
    <row r="11" ht="15.75" customHeight="1" s="144">
      <c r="A11" s="175" t="inlineStr">
        <is>
          <t>Joel Santos</t>
        </is>
      </c>
      <c r="B11" s="175" t="inlineStr">
        <is>
          <t>Permanente</t>
        </is>
      </c>
      <c r="C11" s="280" t="inlineStr">
        <is>
          <t xml:space="preserve">2016 - </t>
        </is>
      </c>
    </row>
    <row r="12" ht="15.75" customHeight="1" s="144">
      <c r="A12" s="175" t="inlineStr">
        <is>
          <t>Jorge Soares</t>
        </is>
      </c>
      <c r="B12" s="175" t="inlineStr">
        <is>
          <t>Permanente</t>
        </is>
      </c>
      <c r="C12" s="280" t="inlineStr">
        <is>
          <t xml:space="preserve">2016 - </t>
        </is>
      </c>
    </row>
    <row r="13" ht="15.75" customHeight="1" s="144">
      <c r="A13" s="175" t="inlineStr">
        <is>
          <t>Kele Belloze</t>
        </is>
      </c>
      <c r="B13" s="175" t="inlineStr">
        <is>
          <t>Permanente</t>
        </is>
      </c>
      <c r="C13" s="280" t="inlineStr">
        <is>
          <t xml:space="preserve">2016 - </t>
        </is>
      </c>
    </row>
    <row r="14" ht="15.75" customHeight="1" s="144">
      <c r="A14" s="175" t="inlineStr">
        <is>
          <t>Laura Assis</t>
        </is>
      </c>
      <c r="B14" s="175" t="inlineStr">
        <is>
          <t>Permanente</t>
        </is>
      </c>
      <c r="C14" s="280" t="inlineStr">
        <is>
          <t xml:space="preserve">2016 - </t>
        </is>
      </c>
    </row>
    <row r="15" ht="15.75" customHeight="1" s="144">
      <c r="A15" s="175" t="inlineStr">
        <is>
          <t>Leonardo Lima</t>
        </is>
      </c>
      <c r="B15" s="175" t="inlineStr">
        <is>
          <t>-</t>
        </is>
      </c>
      <c r="C15" s="150" t="inlineStr">
        <is>
          <t>2016 - 2021</t>
        </is>
      </c>
    </row>
    <row r="16" ht="15.75" customHeight="1" s="144">
      <c r="A16" s="175" t="inlineStr">
        <is>
          <t>Pedro Gonzalez</t>
        </is>
      </c>
      <c r="B16" s="175" t="inlineStr">
        <is>
          <t>Permanente</t>
        </is>
      </c>
      <c r="C16" s="280" t="inlineStr">
        <is>
          <t xml:space="preserve">2019 - </t>
        </is>
      </c>
    </row>
    <row r="17" ht="15.75" customHeight="1" s="144">
      <c r="A17" s="175" t="inlineStr">
        <is>
          <t>Rafaelli Coutinho</t>
        </is>
      </c>
      <c r="B17" s="175" t="inlineStr">
        <is>
          <t>Permanente</t>
        </is>
      </c>
      <c r="C17" s="280" t="inlineStr">
        <is>
          <t xml:space="preserve">2019 - </t>
        </is>
      </c>
    </row>
    <row r="18" ht="15.75" customHeight="1" s="144">
      <c r="A18" s="175" t="inlineStr">
        <is>
          <t>Raphael Machado</t>
        </is>
      </c>
      <c r="B18" s="175" t="inlineStr">
        <is>
          <t>-</t>
        </is>
      </c>
      <c r="C18" s="280" t="inlineStr">
        <is>
          <t>2016 - 2020</t>
        </is>
      </c>
    </row>
  </sheetData>
  <autoFilter ref="A1:C1">
    <sortState ref="A2:C1">
      <sortCondition ref="A2:A1" customList=""/>
    </sortState>
  </autoFilter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1"/>
  </sheetPr>
  <dimension ref="A1:X49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pane xSplit="1" ySplit="1" topLeftCell="B19" activePane="bottomRight" state="frozen"/>
      <selection pane="topLeft" activeCell="A1" activeCellId="0" sqref="A1"/>
      <selection pane="topRight" activeCell="B1" activeCellId="0" sqref="B1"/>
      <selection pane="bottomLeft" activeCell="A19" activeCellId="0" sqref="A19"/>
      <selection pane="bottomRight" activeCell="K31" activeCellId="0" sqref="K31"/>
    </sheetView>
  </sheetViews>
  <sheetFormatPr baseColWidth="8" defaultColWidth="11.00390625" defaultRowHeight="15.75" zeroHeight="0" outlineLevelRow="0"/>
  <cols>
    <col width="46.12" customWidth="1" style="175" min="1" max="1"/>
    <col width="5.88" customWidth="1" style="176" min="2" max="17"/>
    <col width="14.87" customWidth="1" style="176" min="18" max="18"/>
    <col width="5.38" customWidth="1" style="176" min="19" max="19"/>
    <col width="5.38" customWidth="1" style="175" min="20" max="20"/>
    <col width="4.62" customWidth="1" style="175" min="21" max="21"/>
    <col width="5.62" customWidth="1" style="175" min="22" max="22"/>
    <col width="12.37" customWidth="1" style="175" min="30" max="30"/>
  </cols>
  <sheetData>
    <row r="1" ht="117.75" customHeight="1" s="144">
      <c r="A1" s="177" t="inlineStr">
        <is>
          <t>Item</t>
        </is>
      </c>
      <c r="B1" s="178" t="inlineStr">
        <is>
          <t>Diego Haddad</t>
        </is>
      </c>
      <c r="C1" s="178" t="inlineStr">
        <is>
          <t>Diego Brandão</t>
        </is>
      </c>
      <c r="D1" s="178" t="inlineStr">
        <is>
          <t>Diogo Mendonça</t>
        </is>
      </c>
      <c r="E1" s="178" t="inlineStr">
        <is>
          <t>Douglas Cardoso</t>
        </is>
      </c>
      <c r="F1" s="178" t="inlineStr">
        <is>
          <t>Eduardo Bezerra</t>
        </is>
      </c>
      <c r="G1" s="178" t="inlineStr">
        <is>
          <t>Eduardo Ogasawara</t>
        </is>
      </c>
      <c r="H1" s="178" t="inlineStr">
        <is>
          <t>Felipe Henriques</t>
        </is>
      </c>
      <c r="I1" s="178" t="inlineStr">
        <is>
          <t>Glauco Amorim</t>
        </is>
      </c>
      <c r="J1" s="178" t="inlineStr">
        <is>
          <t>Gustavo Guedes</t>
        </is>
      </c>
      <c r="K1" s="178" t="inlineStr">
        <is>
          <t xml:space="preserve">Joao Quadros </t>
        </is>
      </c>
      <c r="L1" s="178" t="inlineStr">
        <is>
          <t>Joel dos Santos</t>
        </is>
      </c>
      <c r="M1" s="178" t="inlineStr">
        <is>
          <t>Jorge Soares</t>
        </is>
      </c>
      <c r="N1" s="178" t="inlineStr">
        <is>
          <t>Kele Belloze</t>
        </is>
      </c>
      <c r="O1" s="178" t="inlineStr">
        <is>
          <t>Laura de Assis</t>
        </is>
      </c>
      <c r="P1" s="178" t="inlineStr">
        <is>
          <t>Pedro Gonzalez</t>
        </is>
      </c>
      <c r="Q1" s="178" t="inlineStr">
        <is>
          <t>Rafaelli Coutinho</t>
        </is>
      </c>
      <c r="R1" s="179" t="inlineStr">
        <is>
          <t>Programa/
(ano*docente)</t>
        </is>
      </c>
      <c r="S1" s="180" t="inlineStr">
        <is>
          <t>Programa Quadrienal</t>
        </is>
      </c>
      <c r="U1" s="180" t="inlineStr">
        <is>
          <t>2017-2020</t>
        </is>
      </c>
    </row>
    <row r="2" ht="15.75" customHeight="1" s="144">
      <c r="A2" s="177" t="inlineStr">
        <is>
          <t>Anos</t>
        </is>
      </c>
      <c r="B2" s="181" t="n">
        <v>1</v>
      </c>
      <c r="C2" s="181" t="n">
        <v>2</v>
      </c>
      <c r="D2" s="181" t="n"/>
      <c r="E2" s="181" t="n"/>
      <c r="F2" s="181" t="n">
        <v>2</v>
      </c>
      <c r="G2" s="181" t="n">
        <v>2</v>
      </c>
      <c r="H2" s="181" t="n">
        <v>2</v>
      </c>
      <c r="I2" s="181" t="n">
        <v>1</v>
      </c>
      <c r="J2" s="181" t="n">
        <v>2</v>
      </c>
      <c r="K2" s="181" t="n">
        <v>2</v>
      </c>
      <c r="L2" s="181" t="n">
        <v>2</v>
      </c>
      <c r="M2" s="181" t="n">
        <v>2</v>
      </c>
      <c r="N2" s="181" t="n">
        <v>2</v>
      </c>
      <c r="O2" s="181" t="n">
        <v>2</v>
      </c>
      <c r="P2" s="181" t="n">
        <v>2</v>
      </c>
      <c r="Q2" s="181" t="n">
        <v>2</v>
      </c>
      <c r="S2" s="182">
        <f>SUM(B2:Q2)/4</f>
        <v/>
      </c>
      <c r="T2" s="183" t="n"/>
    </row>
    <row r="3" ht="15.75" customHeight="1" s="144">
      <c r="A3" s="184" t="inlineStr">
        <is>
          <t>Conferências (2021-2024)</t>
        </is>
      </c>
    </row>
    <row r="4" ht="15.75" customHeight="1" s="144">
      <c r="A4" s="185" t="inlineStr">
        <is>
          <t>Geral</t>
        </is>
      </c>
      <c r="B4" s="186">
        <f>SUMIFS(#REF!,Conferencias!K:K,1)</f>
        <v/>
      </c>
      <c r="C4" s="186">
        <f>SUMIFS(#REF!,#REF!,1)</f>
        <v/>
      </c>
      <c r="D4" s="186">
        <f>SUMIFS(#REF!,#REF!,1)</f>
        <v/>
      </c>
      <c r="E4" s="186">
        <f>SUMIFS(#REF!,#REF!,1)</f>
        <v/>
      </c>
      <c r="F4" s="186">
        <f>SUMIFS(#REF!,#REF!,1)</f>
        <v/>
      </c>
      <c r="G4" s="186">
        <f>SUMIFS(#REF!,#REF!,1)</f>
        <v/>
      </c>
      <c r="H4" s="186">
        <f>SUMIFS(#REF!,#REF!,1)</f>
        <v/>
      </c>
      <c r="I4" s="186">
        <f>SUMIFS(#REF!,#REF!,1)</f>
        <v/>
      </c>
      <c r="J4" s="186">
        <f>SUMIFS(#REF!,#REF!,1)</f>
        <v/>
      </c>
      <c r="K4" s="186">
        <f>SUMIFS(#REF!,#REF!,1)</f>
        <v/>
      </c>
      <c r="L4" s="186">
        <f>SUMIFS(#REF!,#REF!,1)</f>
        <v/>
      </c>
      <c r="M4" s="186">
        <f>SUMIFS(#REF!,#REF!,1)</f>
        <v/>
      </c>
      <c r="N4" s="186">
        <f>SUMIFS(#REF!,#REF!,1)</f>
        <v/>
      </c>
      <c r="O4" s="186">
        <f>SUMIFS(#REF!,#REF!,1)</f>
        <v/>
      </c>
      <c r="P4" s="186">
        <f>SUMIFS(#REF!,#REF!,1)</f>
        <v/>
      </c>
      <c r="Q4" s="186">
        <f>SUMIFS(#REF!,#REF!,1)</f>
        <v/>
      </c>
      <c r="R4" s="187">
        <f>SUM(#REF!)/SUM(B$2:Q$2)</f>
        <v/>
      </c>
      <c r="S4" s="187">
        <f>R4*4</f>
        <v/>
      </c>
      <c r="U4" s="187" t="n">
        <v>3.86</v>
      </c>
      <c r="V4" s="188">
        <f>S4/U4</f>
        <v/>
      </c>
    </row>
    <row r="5" ht="15.75" customHeight="1" s="144">
      <c r="A5" s="189" t="inlineStr">
        <is>
          <t>Restrito</t>
        </is>
      </c>
      <c r="B5" s="190">
        <f>SUMIFS(#REF!,Conferencias!K:K,1,Conferencias!$H:$H,1)</f>
        <v/>
      </c>
      <c r="C5" s="190">
        <f>SUMIFS(#REF!,#REF!,1,Conferencias!$H:$H,1)</f>
        <v/>
      </c>
      <c r="D5" s="190">
        <f>SUMIFS(#REF!,#REF!,1,Conferencias!$H:$H,1)</f>
        <v/>
      </c>
      <c r="E5" s="190">
        <f>SUMIFS(#REF!,#REF!,1,Conferencias!$H:$H,1)</f>
        <v/>
      </c>
      <c r="F5" s="190">
        <f>SUMIFS(#REF!,#REF!,1,Conferencias!$H:$H,1)</f>
        <v/>
      </c>
      <c r="G5" s="190">
        <f>SUMIFS(#REF!,#REF!,1,Conferencias!$H:$H,1)</f>
        <v/>
      </c>
      <c r="H5" s="190">
        <f>SUMIFS(#REF!,#REF!,1,Conferencias!$H:$H,1)</f>
        <v/>
      </c>
      <c r="I5" s="190">
        <f>SUMIFS(#REF!,#REF!,1,Conferencias!$H:$H,1)</f>
        <v/>
      </c>
      <c r="J5" s="190">
        <f>SUMIFS(#REF!,#REF!,1,Conferencias!$H:$H,1)</f>
        <v/>
      </c>
      <c r="K5" s="190">
        <f>SUMIFS(#REF!,#REF!,1,Conferencias!$H:$H,1)</f>
        <v/>
      </c>
      <c r="L5" s="190">
        <f>SUMIFS(#REF!,#REF!,1,Conferencias!$H:$H,1)</f>
        <v/>
      </c>
      <c r="M5" s="190">
        <f>SUMIFS(#REF!,#REF!,1,Conferencias!$H:$H,1)</f>
        <v/>
      </c>
      <c r="N5" s="190">
        <f>SUMIFS(#REF!,#REF!,1,Conferencias!$H:$H,1)</f>
        <v/>
      </c>
      <c r="O5" s="190">
        <f>SUMIFS(#REF!,#REF!,1,Conferencias!$H:$H,1)</f>
        <v/>
      </c>
      <c r="P5" s="190">
        <f>SUMIFS(#REF!,#REF!,1,Conferencias!$H:$H,1)</f>
        <v/>
      </c>
      <c r="Q5" s="190">
        <f>SUMIFS(#REF!,#REF!,1,Conferencias!$H:$H,1)</f>
        <v/>
      </c>
      <c r="R5" s="191">
        <f>SUMIFS(#REF!,Conferencias!$H:$H,1)/SUM(B$2:Q$2)</f>
        <v/>
      </c>
      <c r="S5" s="191">
        <f>R5*4</f>
        <v/>
      </c>
      <c r="U5" s="191" t="n">
        <v>2.76</v>
      </c>
      <c r="V5" s="188">
        <f>S5/U5</f>
        <v/>
      </c>
    </row>
    <row r="6" ht="15.75" customHeight="1" s="144">
      <c r="A6" s="185" t="inlineStr">
        <is>
          <t>Geral com discente</t>
        </is>
      </c>
      <c r="B6" s="186">
        <f>SUMIFS(#REF!,Conferencias!K:K,1,Conferencias!$I:$I,1)</f>
        <v/>
      </c>
      <c r="C6" s="186">
        <f>SUMIFS(#REF!,#REF!,1,Conferencias!$I:$I,1)</f>
        <v/>
      </c>
      <c r="D6" s="186">
        <f>SUMIFS(#REF!,#REF!,1,Conferencias!$I:$I,1)</f>
        <v/>
      </c>
      <c r="E6" s="186">
        <f>SUMIFS(#REF!,#REF!,1,Conferencias!$I:$I,1)</f>
        <v/>
      </c>
      <c r="F6" s="186">
        <f>SUMIFS(#REF!,#REF!,1,Conferencias!$I:$I,1)</f>
        <v/>
      </c>
      <c r="G6" s="186">
        <f>SUMIFS(#REF!,#REF!,1,Conferencias!$I:$I,1)</f>
        <v/>
      </c>
      <c r="H6" s="186">
        <f>SUMIFS(#REF!,#REF!,1,Conferencias!$I:$I,1)</f>
        <v/>
      </c>
      <c r="I6" s="186">
        <f>SUMIFS(#REF!,#REF!,1)</f>
        <v/>
      </c>
      <c r="J6" s="186">
        <f>SUMIFS(#REF!,#REF!,1,Conferencias!$I:$I,1)</f>
        <v/>
      </c>
      <c r="K6" s="186">
        <f>SUMIFS(#REF!,#REF!,1,Conferencias!$I:$I,1)</f>
        <v/>
      </c>
      <c r="L6" s="186">
        <f>SUMIFS(#REF!,#REF!,1,Conferencias!$I:$I,1)</f>
        <v/>
      </c>
      <c r="M6" s="186">
        <f>SUMIFS(#REF!,#REF!,1,Conferencias!$I:$I,1)</f>
        <v/>
      </c>
      <c r="N6" s="186">
        <f>SUMIFS(#REF!,#REF!,1,Conferencias!$I:$I,1)</f>
        <v/>
      </c>
      <c r="O6" s="186">
        <f>SUMIFS(#REF!,#REF!,1,Conferencias!$I:$I,1)</f>
        <v/>
      </c>
      <c r="P6" s="186">
        <f>SUMIFS(#REF!,#REF!,1,Conferencias!$I:$I,1)</f>
        <v/>
      </c>
      <c r="Q6" s="186">
        <f>SUMIFS(#REF!,#REF!,1,Conferencias!$I:$I,1)</f>
        <v/>
      </c>
      <c r="R6" s="187">
        <f>SUMIFS(#REF!,Conferencias!$I:$I,1)/SUM(B$2:Q$2)</f>
        <v/>
      </c>
      <c r="S6" s="187">
        <f>R6*4</f>
        <v/>
      </c>
      <c r="U6" s="187" t="n">
        <v>2.07</v>
      </c>
      <c r="V6" s="188">
        <f>S6/U6</f>
        <v/>
      </c>
    </row>
    <row r="7" ht="15.75" customHeight="1" s="144">
      <c r="A7" s="192" t="inlineStr">
        <is>
          <t>Restrito com discente</t>
        </is>
      </c>
      <c r="B7" s="193">
        <f>SUMIFS(#REF!,Conferencias!K:K,1,Conferencias!$H:$H,1,Conferencias!$I:$I,1)</f>
        <v/>
      </c>
      <c r="C7" s="193">
        <f>SUMIFS(#REF!,#REF!,1,Conferencias!$H:$H,1,Conferencias!$I:$I,1)</f>
        <v/>
      </c>
      <c r="D7" s="193">
        <f>SUMIFS(#REF!,#REF!,1,Conferencias!$H:$H,1,Conferencias!$I:$I,1)</f>
        <v/>
      </c>
      <c r="E7" s="193">
        <f>SUMIFS(#REF!,#REF!,1,Conferencias!$H:$H,1,Conferencias!$I:$I,1)</f>
        <v/>
      </c>
      <c r="F7" s="193">
        <f>SUMIFS(#REF!,#REF!,1,Conferencias!$H:$H,1,Conferencias!$I:$I,1)</f>
        <v/>
      </c>
      <c r="G7" s="193">
        <f>SUMIFS(#REF!,#REF!,1,Conferencias!$H:$H,1,Conferencias!$I:$I,1)</f>
        <v/>
      </c>
      <c r="H7" s="193">
        <f>SUMIFS(#REF!,#REF!,1,Conferencias!$H:$H,1,Conferencias!$I:$I,1)</f>
        <v/>
      </c>
      <c r="I7" s="193">
        <f>SUMIFS(#REF!,#REF!,1,Conferencias!$H:$H,1,Conferencias!$I:$I,1)</f>
        <v/>
      </c>
      <c r="J7" s="193">
        <f>SUMIFS(#REF!,#REF!,1,Conferencias!$H:$H,1,Conferencias!$I:$I,1)</f>
        <v/>
      </c>
      <c r="K7" s="193">
        <f>SUMIFS(#REF!,#REF!,1,Conferencias!$H:$H,1,Conferencias!$I:$I,1)</f>
        <v/>
      </c>
      <c r="L7" s="193">
        <f>SUMIFS(#REF!,#REF!,1,Conferencias!$H:$H,1,Conferencias!$I:$I,1)</f>
        <v/>
      </c>
      <c r="M7" s="193">
        <f>SUMIFS(#REF!,#REF!,1,Conferencias!$H:$H,1,Conferencias!$I:$I,1)</f>
        <v/>
      </c>
      <c r="N7" s="193">
        <f>SUMIFS(#REF!,#REF!,1,Conferencias!$H:$H,1,Conferencias!$I:$I,1)</f>
        <v/>
      </c>
      <c r="O7" s="193">
        <f>SUMIFS(#REF!,#REF!,1,Conferencias!$H:$H,1,Conferencias!$I:$I,1)</f>
        <v/>
      </c>
      <c r="P7" s="193">
        <f>SUMIFS(#REF!,#REF!,1,Conferencias!$H:$H,1,Conferencias!$I:$I,1)</f>
        <v/>
      </c>
      <c r="Q7" s="193">
        <f>SUMIFS(#REF!,#REF!,1,Conferencias!$H:$H,1,Conferencias!$I:$I,1)</f>
        <v/>
      </c>
      <c r="R7" s="194">
        <f>SUMIFS(#REF!,Conferencias!$H:$H,1,Conferencias!$I:$I,1)/SUM(B$2:Q$2)</f>
        <v/>
      </c>
      <c r="S7" s="194">
        <f>R7*4</f>
        <v/>
      </c>
      <c r="U7" s="194" t="n">
        <v>1.48</v>
      </c>
      <c r="V7" s="188">
        <f>S7/U7</f>
        <v/>
      </c>
    </row>
    <row r="8" ht="15.75" customHeight="1" s="144">
      <c r="A8" s="189" t="n"/>
      <c r="B8" s="190" t="n"/>
      <c r="C8" s="190" t="n"/>
      <c r="D8" s="190" t="n"/>
      <c r="E8" s="190" t="n"/>
      <c r="F8" s="190" t="n"/>
      <c r="G8" s="190" t="n"/>
      <c r="H8" s="190" t="n"/>
      <c r="I8" s="190" t="n"/>
      <c r="J8" s="190" t="n"/>
      <c r="K8" s="190" t="n"/>
      <c r="L8" s="190" t="n"/>
      <c r="M8" s="190" t="n"/>
      <c r="N8" s="190" t="n"/>
      <c r="O8" s="190" t="n"/>
      <c r="P8" s="190" t="n"/>
      <c r="Q8" s="190" t="n"/>
      <c r="R8" s="195" t="n"/>
      <c r="S8" s="195" t="n"/>
    </row>
    <row r="9" ht="15.75" customHeight="1" s="144">
      <c r="A9" s="184" t="inlineStr">
        <is>
          <t>Periódicos (2021-2024)</t>
        </is>
      </c>
    </row>
    <row r="10" ht="15.75" customHeight="1" s="144">
      <c r="A10" s="185" t="inlineStr">
        <is>
          <t>Geral</t>
        </is>
      </c>
      <c r="B10" s="186">
        <f>SUMIFS(Periodicos!$AB:$AB,Periodicos!K:K,1)</f>
        <v/>
      </c>
      <c r="C10" s="186">
        <f>SUMIFS(Periodicos!$AB:$AB,Periodicos!L:L,1)</f>
        <v/>
      </c>
      <c r="D10" s="186">
        <f>SUMIFS(Periodicos!$AB:$AB,Periodicos!M:M,1)</f>
        <v/>
      </c>
      <c r="E10" s="186">
        <f>SUMIFS(Periodicos!$AB:$AB,Periodicos!N:N,1)</f>
        <v/>
      </c>
      <c r="F10" s="186">
        <f>SUMIFS(Periodicos!$AB:$AB,Periodicos!O:O,1)</f>
        <v/>
      </c>
      <c r="G10" s="186">
        <f>SUMIFS(Periodicos!$AB:$AB,Periodicos!P:P,1)</f>
        <v/>
      </c>
      <c r="H10" s="186">
        <f>SUMIFS(Periodicos!$AB:$AB,Periodicos!Q:Q,1)</f>
        <v/>
      </c>
      <c r="I10" s="186">
        <f>SUMIFS(Periodicos!$AB:$AB,Periodicos!R:R,1)</f>
        <v/>
      </c>
      <c r="J10" s="186">
        <f>SUMIFS(Periodicos!$AB:$AB,Periodicos!S:S,1)</f>
        <v/>
      </c>
      <c r="K10" s="186">
        <f>SUMIFS(Periodicos!$AB:$AB,Periodicos!T:T,1)</f>
        <v/>
      </c>
      <c r="L10" s="186">
        <f>SUMIFS(Periodicos!$AB:$AB,Periodicos!U:U,1)</f>
        <v/>
      </c>
      <c r="M10" s="186">
        <f>SUMIFS(Periodicos!$AB:$AB,Periodicos!V:V,1)</f>
        <v/>
      </c>
      <c r="N10" s="186">
        <f>SUMIFS(Periodicos!$AB:$AB,Periodicos!W:W,1)</f>
        <v/>
      </c>
      <c r="O10" s="186">
        <f>SUMIFS(Periodicos!$AB:$AB,Periodicos!X:X,1)</f>
        <v/>
      </c>
      <c r="P10" s="186">
        <f>SUMIFS(Periodicos!$AB:$AB,Periodicos!Y:Y,1)</f>
        <v/>
      </c>
      <c r="Q10" s="186">
        <f>SUMIFS(Periodicos!$AB:$AB,Periodicos!Z:Z,1)</f>
        <v/>
      </c>
      <c r="R10" s="187">
        <f>SUM(Periodicos!$AB:$AB)/SUM(B$2:Q$2)</f>
        <v/>
      </c>
      <c r="S10" s="187">
        <f>R10*4</f>
        <v/>
      </c>
      <c r="U10" s="187" t="n">
        <v>4.44</v>
      </c>
      <c r="V10" s="188">
        <f>S10/U10</f>
        <v/>
      </c>
    </row>
    <row r="11" ht="15.75" customHeight="1" s="144">
      <c r="A11" s="189" t="inlineStr">
        <is>
          <t>Restrito</t>
        </is>
      </c>
      <c r="B11" s="190">
        <f>SUMIFS(Periodicos!$AB:$AB,Periodicos!K:K,1,Periodicos!$H:$H,1)</f>
        <v/>
      </c>
      <c r="C11" s="190">
        <f>SUMIFS(Periodicos!$AB:$AB,Periodicos!L:L,1,Periodicos!$H:$H,1)</f>
        <v/>
      </c>
      <c r="D11" s="190">
        <f>SUMIFS(Periodicos!$AB:$AB,Periodicos!M:M,1,Periodicos!$H:$H,1)</f>
        <v/>
      </c>
      <c r="E11" s="190">
        <f>SUMIFS(Periodicos!$AB:$AB,Periodicos!N:N,1,Periodicos!$H:$H,1)</f>
        <v/>
      </c>
      <c r="F11" s="190">
        <f>SUMIFS(Periodicos!$AB:$AB,Periodicos!O:O,1,Periodicos!$H:$H,1)</f>
        <v/>
      </c>
      <c r="G11" s="190">
        <f>SUMIFS(Periodicos!$AB:$AB,Periodicos!P:P,1,Periodicos!$H:$H,1)</f>
        <v/>
      </c>
      <c r="H11" s="190">
        <f>SUMIFS(Periodicos!$AB:$AB,Periodicos!Q:Q,1,Periodicos!$H:$H,1)</f>
        <v/>
      </c>
      <c r="I11" s="190">
        <f>SUMIFS(Periodicos!$AB:$AB,Periodicos!R:R,1,Periodicos!$H:$H,1)</f>
        <v/>
      </c>
      <c r="J11" s="190">
        <f>SUMIFS(Periodicos!$AB:$AB,Periodicos!S:S,1,Periodicos!$H:$H,1)</f>
        <v/>
      </c>
      <c r="K11" s="190">
        <f>SUMIFS(Periodicos!$AB:$AB,Periodicos!T:T,1,Periodicos!$H:$H,1)</f>
        <v/>
      </c>
      <c r="L11" s="190">
        <f>SUMIFS(Periodicos!$AB:$AB,Periodicos!U:U,1,Periodicos!$H:$H,1)</f>
        <v/>
      </c>
      <c r="M11" s="190">
        <f>SUMIFS(Periodicos!$AB:$AB,Periodicos!V:V,1,Periodicos!$H:$H,1)</f>
        <v/>
      </c>
      <c r="N11" s="190">
        <f>SUMIFS(Periodicos!$AB:$AB,Periodicos!W:W,1,Periodicos!$H:$H,1)</f>
        <v/>
      </c>
      <c r="O11" s="190">
        <f>SUMIFS(Periodicos!$AB:$AB,Periodicos!X:X,1,Periodicos!$H:$H,1)</f>
        <v/>
      </c>
      <c r="P11" s="190">
        <f>SUMIFS(Periodicos!$AB:$AB,Periodicos!Y:Y,1,Periodicos!$H:$H,1)</f>
        <v/>
      </c>
      <c r="Q11" s="190">
        <f>SUMIFS(Periodicos!$AB:$AB,Periodicos!Z:Z,1,Periodicos!$H:$H,1)</f>
        <v/>
      </c>
      <c r="R11" s="191">
        <f>SUMIFS(Periodicos!$AB:$AB,Periodicos!$H:$H,1)/SUM(B$2:Q$2)</f>
        <v/>
      </c>
      <c r="S11" s="191">
        <f>R11*4</f>
        <v/>
      </c>
      <c r="U11" s="191" t="n">
        <v>4.26</v>
      </c>
      <c r="V11" s="188">
        <f>S11/U11</f>
        <v/>
      </c>
    </row>
    <row r="12" ht="15.75" customHeight="1" s="144">
      <c r="A12" s="185" t="inlineStr">
        <is>
          <t>Geral na área</t>
        </is>
      </c>
      <c r="B12" s="186">
        <f>SUMIFS(Periodicos!$AB:$AB,Periodicos!K:K,1,Periodicos!$G:$G,1)</f>
        <v/>
      </c>
      <c r="C12" s="186">
        <f>SUMIFS(Periodicos!$AB:$AB,Periodicos!L:L,1,Periodicos!$G:$G,1)</f>
        <v/>
      </c>
      <c r="D12" s="186">
        <f>SUMIFS(Periodicos!$AB:$AB,Periodicos!M:M,1,Periodicos!$G:$G,1)</f>
        <v/>
      </c>
      <c r="E12" s="186">
        <f>SUMIFS(Periodicos!$AB:$AB,Periodicos!N:N,1,Periodicos!$G:$G,1)</f>
        <v/>
      </c>
      <c r="F12" s="186">
        <f>SUMIFS(Periodicos!$AB:$AB,Periodicos!O:O,1,Periodicos!$G:$G,1)</f>
        <v/>
      </c>
      <c r="G12" s="186">
        <f>SUMIFS(Periodicos!$AB:$AB,Periodicos!P:P,1,Periodicos!$G:$G,1)</f>
        <v/>
      </c>
      <c r="H12" s="186">
        <f>SUMIFS(Periodicos!$AB:$AB,Periodicos!Q:Q,1,Periodicos!$G:$G,1)</f>
        <v/>
      </c>
      <c r="I12" s="186">
        <f>SUMIFS(Periodicos!$AB:$AB,Periodicos!R:R,1,Periodicos!$G:$G,1)</f>
        <v/>
      </c>
      <c r="J12" s="186">
        <f>SUMIFS(Periodicos!$AB:$AB,Periodicos!S:S,1,Periodicos!$G:$G,1)</f>
        <v/>
      </c>
      <c r="K12" s="186">
        <f>SUMIFS(Periodicos!$AB:$AB,Periodicos!T:T,1,Periodicos!$G:$G,1)</f>
        <v/>
      </c>
      <c r="L12" s="186">
        <f>SUMIFS(Periodicos!$AB:$AB,Periodicos!U:U,1,Periodicos!$G:$G,1)</f>
        <v/>
      </c>
      <c r="M12" s="186">
        <f>SUMIFS(Periodicos!$AB:$AB,Periodicos!V:V,1,Periodicos!$G:$G,1)</f>
        <v/>
      </c>
      <c r="N12" s="186">
        <f>SUMIFS(Periodicos!$AB:$AB,Periodicos!W:W,1,Periodicos!$G:$G,1)</f>
        <v/>
      </c>
      <c r="O12" s="186">
        <f>SUMIFS(Periodicos!$AB:$AB,Periodicos!X:X,1,Periodicos!$G:$G,1)</f>
        <v/>
      </c>
      <c r="P12" s="186">
        <f>SUMIFS(Periodicos!$AB:$AB,Periodicos!Y:Y,1,Periodicos!$G:$G,1)</f>
        <v/>
      </c>
      <c r="Q12" s="186">
        <f>SUMIFS(Periodicos!$AB:$AB,Periodicos!Z:Z,1,Periodicos!$G:$G,1)</f>
        <v/>
      </c>
      <c r="R12" s="187">
        <f>SUMIFS(Periodicos!$AB:$AB,Periodicos!$G:$G,1)/SUM(B$2:Q$2)</f>
        <v/>
      </c>
      <c r="S12" s="187">
        <f>R12*4</f>
        <v/>
      </c>
      <c r="U12" s="187" t="n">
        <v>3.6</v>
      </c>
      <c r="V12" s="188">
        <f>S12/U12</f>
        <v/>
      </c>
    </row>
    <row r="13" ht="15.75" customHeight="1" s="144">
      <c r="A13" s="189" t="inlineStr">
        <is>
          <t>Restrito na área</t>
        </is>
      </c>
      <c r="B13" s="190">
        <f>SUMIFS(Periodicos!$AB:$AB,Periodicos!K:K,1,Periodicos!$H:$H,1,Periodicos!$G:$G,1)</f>
        <v/>
      </c>
      <c r="C13" s="190">
        <f>SUMIFS(Periodicos!$AB:$AB,Periodicos!L:L,1,Periodicos!$H:$H,1,Periodicos!$G:$G,1)</f>
        <v/>
      </c>
      <c r="D13" s="190">
        <f>SUMIFS(Periodicos!$AB:$AB,Periodicos!M:M,1,Periodicos!$H:$H,1,Periodicos!$G:$G,1)</f>
        <v/>
      </c>
      <c r="E13" s="190">
        <f>SUMIFS(Periodicos!$AB:$AB,Periodicos!N:N,1,Periodicos!$H:$H,1,Periodicos!$G:$G,1)</f>
        <v/>
      </c>
      <c r="F13" s="190">
        <f>SUMIFS(Periodicos!$AB:$AB,Periodicos!O:O,1,Periodicos!$H:$H,1,Periodicos!$G:$G,1)</f>
        <v/>
      </c>
      <c r="G13" s="190">
        <f>SUMIFS(Periodicos!$AB:$AB,Periodicos!P:P,1,Periodicos!$H:$H,1,Periodicos!$G:$G,1)</f>
        <v/>
      </c>
      <c r="H13" s="190">
        <f>SUMIFS(Periodicos!$AB:$AB,Periodicos!Q:Q,1,Periodicos!$H:$H,1,Periodicos!$G:$G,1)</f>
        <v/>
      </c>
      <c r="I13" s="190">
        <f>SUMIFS(Periodicos!$AB:$AB,Periodicos!R:R,1,Periodicos!$H:$H,1,Periodicos!$G:$G,1)</f>
        <v/>
      </c>
      <c r="J13" s="190">
        <f>SUMIFS(Periodicos!$AB:$AB,Periodicos!S:S,1,Periodicos!$H:$H,1,Periodicos!$G:$G,1)</f>
        <v/>
      </c>
      <c r="K13" s="190">
        <f>SUMIFS(Periodicos!$AB:$AB,Periodicos!T:T,1,Periodicos!$H:$H,1,Periodicos!$G:$G,1)</f>
        <v/>
      </c>
      <c r="L13" s="190">
        <f>SUMIFS(Periodicos!$AB:$AB,Periodicos!U:U,1,Periodicos!$H:$H,1,Periodicos!$G:$G,1)</f>
        <v/>
      </c>
      <c r="M13" s="190">
        <f>SUMIFS(Periodicos!$AB:$AB,Periodicos!V:V,1,Periodicos!$H:$H,1,Periodicos!$G:$G,1)</f>
        <v/>
      </c>
      <c r="N13" s="190">
        <f>SUMIFS(Periodicos!$AB:$AB,Periodicos!W:W,1,Periodicos!$H:$H,1,Periodicos!$G:$G,1)</f>
        <v/>
      </c>
      <c r="O13" s="190">
        <f>SUMIFS(Periodicos!$AB:$AB,Periodicos!X:X,1,Periodicos!$H:$H,1,Periodicos!$G:$G,1)</f>
        <v/>
      </c>
      <c r="P13" s="190">
        <f>SUMIFS(Periodicos!$AB:$AB,Periodicos!Y:Y,1,Periodicos!$H:$H,1,Periodicos!$G:$G,1)</f>
        <v/>
      </c>
      <c r="Q13" s="190">
        <f>SUMIFS(Periodicos!$AB:$AB,Periodicos!Z:Z,1,Periodicos!$H:$H,1,Periodicos!$G:$G,1)</f>
        <v/>
      </c>
      <c r="R13" s="191">
        <f>SUMIFS(Periodicos!$AB:$AB,Periodicos!$H:$H,1,Periodicos!$G:$G,1)/SUM(B$2:Q$2)</f>
        <v/>
      </c>
      <c r="S13" s="191">
        <f>R13*4</f>
        <v/>
      </c>
      <c r="U13" s="191" t="n">
        <v>3.52</v>
      </c>
      <c r="V13" s="188">
        <f>S13/U13</f>
        <v/>
      </c>
    </row>
    <row r="14" ht="15.75" customHeight="1" s="144">
      <c r="A14" s="185" t="inlineStr">
        <is>
          <t>Geral com discente</t>
        </is>
      </c>
      <c r="B14" s="186">
        <f>SUMIFS(Periodicos!$AB:$AB,Periodicos!K:K,1,Periodicos!$I:$I,1)</f>
        <v/>
      </c>
      <c r="C14" s="186">
        <f>SUMIFS(Periodicos!$AB:$AB,Periodicos!L:L,1,Periodicos!$I:$I,1)</f>
        <v/>
      </c>
      <c r="D14" s="186">
        <f>SUMIFS(Periodicos!$AB:$AB,Periodicos!M:M,1,Periodicos!$I:$I,1)</f>
        <v/>
      </c>
      <c r="E14" s="186">
        <f>SUMIFS(Periodicos!$AB:$AB,Periodicos!N:N,1,Periodicos!$I:$I,1)</f>
        <v/>
      </c>
      <c r="F14" s="186">
        <f>SUMIFS(Periodicos!$AB:$AB,Periodicos!O:O,1,Periodicos!$I:$I,1)</f>
        <v/>
      </c>
      <c r="G14" s="186">
        <f>SUMIFS(Periodicos!$AB:$AB,Periodicos!P:P,1,Periodicos!$I:$I,1)</f>
        <v/>
      </c>
      <c r="H14" s="186">
        <f>SUMIFS(Periodicos!$AB:$AB,Periodicos!Q:Q,1,Periodicos!$I:$I,1)</f>
        <v/>
      </c>
      <c r="I14" s="186">
        <f>SUMIFS(Periodicos!$AB:$AB,Periodicos!R:R,1,Periodicos!$I:$I,1)</f>
        <v/>
      </c>
      <c r="J14" s="186">
        <f>SUMIFS(Periodicos!$AB:$AB,Periodicos!S:S,1,Periodicos!$I:$I,1)</f>
        <v/>
      </c>
      <c r="K14" s="186">
        <f>SUMIFS(Periodicos!$AB:$AB,Periodicos!T:T,1,Periodicos!$I:$I,1)</f>
        <v/>
      </c>
      <c r="L14" s="186">
        <f>SUMIFS(Periodicos!$AB:$AB,Periodicos!U:U,1,Periodicos!$I:$I,1)</f>
        <v/>
      </c>
      <c r="M14" s="186">
        <f>SUMIFS(Periodicos!$AB:$AB,Periodicos!V:V,1,Periodicos!$I:$I,1)</f>
        <v/>
      </c>
      <c r="N14" s="186">
        <f>SUMIFS(Periodicos!$AB:$AB,Periodicos!W:W,1,Periodicos!$I:$I,1)</f>
        <v/>
      </c>
      <c r="O14" s="186">
        <f>SUMIFS(Periodicos!$AB:$AB,Periodicos!X:X,1,Periodicos!$I:$I,1)</f>
        <v/>
      </c>
      <c r="P14" s="186">
        <f>SUMIFS(Periodicos!$AB:$AB,Periodicos!Y:Y,1,Periodicos!$I:$I,1)</f>
        <v/>
      </c>
      <c r="Q14" s="186">
        <f>SUMIFS(Periodicos!$AB:$AB,Periodicos!Z:Z,1,Periodicos!$I:$I,1)</f>
        <v/>
      </c>
      <c r="R14" s="187">
        <f>SUMIFS(Periodicos!$AB:$AB,Periodicos!$I:$I,1)/SUM(B$2:Q$2)</f>
        <v/>
      </c>
      <c r="S14" s="187">
        <f>R14*4</f>
        <v/>
      </c>
      <c r="U14" s="187" t="n">
        <v>0.9399999999999999</v>
      </c>
      <c r="V14" s="188">
        <f>S14/U14</f>
        <v/>
      </c>
    </row>
    <row r="15" ht="15.75" customHeight="1" s="144">
      <c r="A15" s="192" t="inlineStr">
        <is>
          <t>Restrito com discente</t>
        </is>
      </c>
      <c r="B15" s="193">
        <f>SUMIFS(Periodicos!$AB:$AB,Periodicos!K:K,1,Periodicos!$I:$I,1,Periodicos!$H:$H,1)</f>
        <v/>
      </c>
      <c r="C15" s="193">
        <f>SUMIFS(Periodicos!$AB:$AB,Periodicos!L:L,1,Periodicos!$I:$I,1,Periodicos!$H:$H,1)</f>
        <v/>
      </c>
      <c r="D15" s="193">
        <f>SUMIFS(Periodicos!$AB:$AB,Periodicos!M:M,1,Periodicos!$I:$I,1,Periodicos!$H:$H,1)</f>
        <v/>
      </c>
      <c r="E15" s="193">
        <f>SUMIFS(Periodicos!$AB:$AB,Periodicos!N:N,1,Periodicos!$I:$I,1,Periodicos!$H:$H,1)</f>
        <v/>
      </c>
      <c r="F15" s="193">
        <f>SUMIFS(Periodicos!$AB:$AB,Periodicos!O:O,1,Periodicos!$I:$I,1,Periodicos!$H:$H,1)</f>
        <v/>
      </c>
      <c r="G15" s="193">
        <f>SUMIFS(Periodicos!$AB:$AB,Periodicos!P:P,1,Periodicos!$I:$I,1,Periodicos!$H:$H,1)</f>
        <v/>
      </c>
      <c r="H15" s="193">
        <f>SUMIFS(Periodicos!$AB:$AB,Periodicos!Q:Q,1,Periodicos!$I:$I,1,Periodicos!$H:$H,1)</f>
        <v/>
      </c>
      <c r="I15" s="193">
        <f>SUMIFS(Periodicos!$AB:$AB,Periodicos!R:R,1,Periodicos!$I:$I,1,Periodicos!$H:$H,1)</f>
        <v/>
      </c>
      <c r="J15" s="193">
        <f>SUMIFS(Periodicos!$AB:$AB,Periodicos!S:S,1,Periodicos!$I:$I,1,Periodicos!$H:$H,1)</f>
        <v/>
      </c>
      <c r="K15" s="193">
        <f>SUMIFS(Periodicos!$AB:$AB,Periodicos!T:T,1,Periodicos!$I:$I,1,Periodicos!$H:$H,1)</f>
        <v/>
      </c>
      <c r="L15" s="193">
        <f>SUMIFS(Periodicos!$AB:$AB,Periodicos!U:U,1,Periodicos!$I:$I,1,Periodicos!$H:$H,1)</f>
        <v/>
      </c>
      <c r="M15" s="193">
        <f>SUMIFS(Periodicos!$AB:$AB,Periodicos!V:V,1,Periodicos!$I:$I,1,Periodicos!$H:$H,1)</f>
        <v/>
      </c>
      <c r="N15" s="193">
        <f>SUMIFS(Periodicos!$AB:$AB,Periodicos!W:W,1,Periodicos!$I:$I,1,Periodicos!$H:$H,1)</f>
        <v/>
      </c>
      <c r="O15" s="193">
        <f>SUMIFS(Periodicos!$AB:$AB,Periodicos!X:X,1,Periodicos!$I:$I,1,Periodicos!$H:$H,1)</f>
        <v/>
      </c>
      <c r="P15" s="193">
        <f>SUMIFS(Periodicos!$AB:$AB,Periodicos!Y:Y,1,Periodicos!$I:$I,1,Periodicos!$H:$H,1)</f>
        <v/>
      </c>
      <c r="Q15" s="193">
        <f>SUMIFS(Periodicos!$AB:$AB,Periodicos!Z:Z,1,Periodicos!$I:$I,1,Periodicos!$H:$H,1)</f>
        <v/>
      </c>
      <c r="R15" s="194">
        <f>SUMIFS(Periodicos!$AB:$AB,Periodicos!$I:$I,1,Periodicos!$H:$H,1)/SUM(B$2:Q$2)</f>
        <v/>
      </c>
      <c r="S15" s="194">
        <f>R15*4</f>
        <v/>
      </c>
      <c r="U15" s="194" t="n">
        <v>0.86</v>
      </c>
      <c r="V15" s="188">
        <f>S15/U15</f>
        <v/>
      </c>
    </row>
    <row r="16" ht="15.75" customHeight="1" s="144">
      <c r="A16" s="189" t="n"/>
      <c r="B16" s="190" t="n"/>
      <c r="C16" s="190" t="n"/>
      <c r="D16" s="190" t="n"/>
      <c r="E16" s="190" t="n"/>
      <c r="F16" s="190" t="n"/>
      <c r="G16" s="190" t="n"/>
      <c r="H16" s="190" t="n"/>
      <c r="I16" s="190" t="n"/>
      <c r="J16" s="190" t="n"/>
      <c r="K16" s="190" t="n"/>
      <c r="L16" s="190" t="n"/>
      <c r="M16" s="190" t="n"/>
      <c r="N16" s="190" t="n"/>
      <c r="O16" s="190" t="n"/>
      <c r="P16" s="190" t="n"/>
      <c r="Q16" s="190" t="n"/>
      <c r="R16" s="195" t="n"/>
      <c r="S16" s="195" t="n"/>
    </row>
    <row r="17" ht="15.75" customHeight="1" s="144">
      <c r="A17" s="196" t="inlineStr">
        <is>
          <t>Total  (2021-2024)</t>
        </is>
      </c>
      <c r="B17" s="190" t="n"/>
      <c r="C17" s="190" t="n"/>
      <c r="D17" s="190" t="n"/>
      <c r="E17" s="190" t="n"/>
      <c r="F17" s="190" t="n"/>
      <c r="G17" s="190" t="n"/>
      <c r="H17" s="190" t="n"/>
      <c r="I17" s="190" t="n"/>
      <c r="J17" s="190" t="n"/>
      <c r="K17" s="190" t="n"/>
      <c r="L17" s="190" t="n"/>
      <c r="M17" s="190" t="n"/>
      <c r="N17" s="190" t="n"/>
      <c r="O17" s="190" t="n"/>
      <c r="P17" s="190" t="n"/>
      <c r="Q17" s="190" t="n"/>
      <c r="R17" s="195" t="n"/>
      <c r="S17" s="195" t="n"/>
    </row>
    <row r="18" ht="16.5" customHeight="1" s="144">
      <c r="A18" s="185" t="inlineStr">
        <is>
          <t>Geral</t>
        </is>
      </c>
      <c r="B18" s="186">
        <f>SUM(B4,B10)</f>
        <v/>
      </c>
      <c r="C18" s="186">
        <f>SUM(C4,C10)</f>
        <v/>
      </c>
      <c r="D18" s="186">
        <f>SUM(D4,D10)</f>
        <v/>
      </c>
      <c r="E18" s="186">
        <f>SUM(E4,E10)</f>
        <v/>
      </c>
      <c r="F18" s="186">
        <f>SUM(F4,F10)</f>
        <v/>
      </c>
      <c r="G18" s="186">
        <f>SUM(G4,G10)</f>
        <v/>
      </c>
      <c r="H18" s="186">
        <f>SUM(H4,H10)</f>
        <v/>
      </c>
      <c r="I18" s="186">
        <f>SUM(I4,I10)</f>
        <v/>
      </c>
      <c r="J18" s="186">
        <f>SUM(J4,J10)</f>
        <v/>
      </c>
      <c r="K18" s="186">
        <f>SUM(K4,K10)</f>
        <v/>
      </c>
      <c r="L18" s="186">
        <f>SUM(L4,L10)</f>
        <v/>
      </c>
      <c r="M18" s="186">
        <f>SUM(M4,M10)</f>
        <v/>
      </c>
      <c r="N18" s="186">
        <f>SUM(N4,N10)</f>
        <v/>
      </c>
      <c r="O18" s="186">
        <f>SUM(O4,O10)</f>
        <v/>
      </c>
      <c r="P18" s="186">
        <f>SUM(P4,P10)</f>
        <v/>
      </c>
      <c r="Q18" s="186">
        <f>SUM(Q4,Q10)</f>
        <v/>
      </c>
      <c r="R18" s="197">
        <f>SUM(R4,R10)</f>
        <v/>
      </c>
      <c r="S18" s="197">
        <f>R18*4</f>
        <v/>
      </c>
      <c r="U18" s="187" t="n">
        <v>8.300000000000001</v>
      </c>
      <c r="V18" s="188">
        <f>S18/U18</f>
        <v/>
      </c>
    </row>
    <row r="19" ht="15.75" customHeight="1" s="144">
      <c r="A19" s="189" t="inlineStr">
        <is>
          <t>Restrito</t>
        </is>
      </c>
      <c r="B19" s="190">
        <f>SUM(B5,B11)</f>
        <v/>
      </c>
      <c r="C19" s="190">
        <f>SUM(C5,C11)</f>
        <v/>
      </c>
      <c r="D19" s="190">
        <f>SUM(D5,D11)</f>
        <v/>
      </c>
      <c r="E19" s="190">
        <f>SUM(E5,E11)</f>
        <v/>
      </c>
      <c r="F19" s="190">
        <f>SUM(F5,F11)</f>
        <v/>
      </c>
      <c r="G19" s="190">
        <f>SUM(G5,G11)</f>
        <v/>
      </c>
      <c r="H19" s="190">
        <f>SUM(H5,H11)</f>
        <v/>
      </c>
      <c r="I19" s="190">
        <f>SUM(I5,I11)</f>
        <v/>
      </c>
      <c r="J19" s="190">
        <f>SUM(J5,J11)</f>
        <v/>
      </c>
      <c r="K19" s="190">
        <f>SUM(K5,K11)</f>
        <v/>
      </c>
      <c r="L19" s="190">
        <f>SUM(L5,L11)</f>
        <v/>
      </c>
      <c r="M19" s="190">
        <f>SUM(M5,M11)</f>
        <v/>
      </c>
      <c r="N19" s="190">
        <f>SUM(N5,N11)</f>
        <v/>
      </c>
      <c r="O19" s="190">
        <f>SUM(O5,O11)</f>
        <v/>
      </c>
      <c r="P19" s="190">
        <f>SUM(P5,P11)</f>
        <v/>
      </c>
      <c r="Q19" s="190">
        <f>SUM(Q5,Q11)</f>
        <v/>
      </c>
      <c r="R19" s="198">
        <f>SUM(R5,R11)</f>
        <v/>
      </c>
      <c r="S19" s="198">
        <f>R19*4</f>
        <v/>
      </c>
      <c r="U19" s="191" t="n">
        <v>7.02</v>
      </c>
      <c r="V19" s="188">
        <f>S19/U19</f>
        <v/>
      </c>
    </row>
    <row r="20" ht="15.75" customHeight="1" s="144">
      <c r="A20" s="185" t="inlineStr">
        <is>
          <t>Geral com Discente</t>
        </is>
      </c>
      <c r="B20" s="186">
        <f>SUM(B6,B14)</f>
        <v/>
      </c>
      <c r="C20" s="186">
        <f>SUM(C6,C14)</f>
        <v/>
      </c>
      <c r="D20" s="186">
        <f>SUM(D6,D14)</f>
        <v/>
      </c>
      <c r="E20" s="186">
        <f>SUM(E6,E14)</f>
        <v/>
      </c>
      <c r="F20" s="186">
        <f>SUM(F6,F14)</f>
        <v/>
      </c>
      <c r="G20" s="186">
        <f>SUM(G6,G14)</f>
        <v/>
      </c>
      <c r="H20" s="186">
        <f>SUM(H6,H14)</f>
        <v/>
      </c>
      <c r="I20" s="186">
        <f>SUM(I6,I14)</f>
        <v/>
      </c>
      <c r="J20" s="186">
        <f>SUM(J6,J14)</f>
        <v/>
      </c>
      <c r="K20" s="186">
        <f>SUM(K6,K14)</f>
        <v/>
      </c>
      <c r="L20" s="186">
        <f>SUM(L6,L14)</f>
        <v/>
      </c>
      <c r="M20" s="186">
        <f>SUM(M6,M14)</f>
        <v/>
      </c>
      <c r="N20" s="186">
        <f>SUM(N6,N14)</f>
        <v/>
      </c>
      <c r="O20" s="186">
        <f>SUM(O6,O14)</f>
        <v/>
      </c>
      <c r="P20" s="186">
        <f>SUM(P6,P14)</f>
        <v/>
      </c>
      <c r="Q20" s="186">
        <f>SUM(Q6,Q14)</f>
        <v/>
      </c>
      <c r="R20" s="197">
        <f>SUM(R6,R14)</f>
        <v/>
      </c>
      <c r="S20" s="197">
        <f>R20*4</f>
        <v/>
      </c>
      <c r="U20" s="187" t="n">
        <v>3.02</v>
      </c>
      <c r="V20" s="188">
        <f>S20/U20</f>
        <v/>
      </c>
    </row>
    <row r="21" ht="15.75" customHeight="1" s="144">
      <c r="A21" s="192" t="inlineStr">
        <is>
          <t>Restrito com Discente</t>
        </is>
      </c>
      <c r="B21" s="193">
        <f>SUM(B7,B15)</f>
        <v/>
      </c>
      <c r="C21" s="193">
        <f>SUM(C7,C15)</f>
        <v/>
      </c>
      <c r="D21" s="193">
        <f>SUM(D7,D15)</f>
        <v/>
      </c>
      <c r="E21" s="193">
        <f>SUM(E7,E15)</f>
        <v/>
      </c>
      <c r="F21" s="193">
        <f>SUM(F7,F15)</f>
        <v/>
      </c>
      <c r="G21" s="193">
        <f>SUM(G7,G15)</f>
        <v/>
      </c>
      <c r="H21" s="193">
        <f>SUM(H7,H15)</f>
        <v/>
      </c>
      <c r="I21" s="193">
        <f>SUM(I7,I15)</f>
        <v/>
      </c>
      <c r="J21" s="193">
        <f>SUM(J7,J15)</f>
        <v/>
      </c>
      <c r="K21" s="193">
        <f>SUM(K7,K15)</f>
        <v/>
      </c>
      <c r="L21" s="193">
        <f>SUM(L7,L15)</f>
        <v/>
      </c>
      <c r="M21" s="193">
        <f>SUM(M7,M15)</f>
        <v/>
      </c>
      <c r="N21" s="193">
        <f>SUM(N7,N15)</f>
        <v/>
      </c>
      <c r="O21" s="193">
        <f>SUM(O7,O15)</f>
        <v/>
      </c>
      <c r="P21" s="193">
        <f>SUM(P7,P15)</f>
        <v/>
      </c>
      <c r="Q21" s="193">
        <f>SUM(Q7,Q15)</f>
        <v/>
      </c>
      <c r="R21" s="199">
        <f>SUM(R7,R15)</f>
        <v/>
      </c>
      <c r="S21" s="199">
        <f>R21*4</f>
        <v/>
      </c>
      <c r="U21" s="194" t="n">
        <v>2.34</v>
      </c>
      <c r="V21" s="188">
        <f>S21/U21</f>
        <v/>
      </c>
    </row>
    <row r="22" ht="15.75" customHeight="1" s="144">
      <c r="A22" s="189" t="n"/>
      <c r="B22" s="190" t="n"/>
      <c r="C22" s="190" t="n"/>
      <c r="D22" s="190" t="n"/>
      <c r="E22" s="190" t="n"/>
      <c r="F22" s="190" t="n"/>
      <c r="G22" s="190" t="n"/>
      <c r="H22" s="190" t="n"/>
      <c r="I22" s="190" t="n"/>
      <c r="J22" s="190" t="n"/>
      <c r="K22" s="190" t="n"/>
      <c r="L22" s="190" t="n"/>
      <c r="M22" s="190" t="n"/>
      <c r="N22" s="190" t="n"/>
      <c r="O22" s="190" t="n"/>
      <c r="P22" s="190" t="n"/>
      <c r="Q22" s="190" t="n"/>
      <c r="R22" s="195" t="n"/>
      <c r="S22" s="195" t="n"/>
    </row>
    <row r="23" ht="15.75" customHeight="1" s="144">
      <c r="A23" s="200" t="inlineStr">
        <is>
          <t>Produção Técnica</t>
        </is>
      </c>
      <c r="R23" s="195" t="n"/>
      <c r="S23" s="195" t="n"/>
    </row>
    <row r="24" ht="15.75" customHeight="1" s="144">
      <c r="A24" s="201" t="inlineStr">
        <is>
          <t>Patente Depositada</t>
        </is>
      </c>
      <c r="B24" s="202" t="n"/>
      <c r="C24" s="202" t="n"/>
      <c r="D24" s="202" t="n"/>
      <c r="E24" s="202" t="n"/>
      <c r="F24" s="202" t="n"/>
      <c r="G24" s="202" t="n"/>
      <c r="H24" s="202" t="n"/>
      <c r="I24" s="202" t="n"/>
      <c r="J24" s="202" t="n"/>
      <c r="K24" s="202" t="n">
        <v>1</v>
      </c>
      <c r="L24" s="202" t="n"/>
      <c r="M24" s="202" t="n"/>
      <c r="N24" s="202" t="n"/>
      <c r="O24" s="202" t="n"/>
      <c r="P24" s="202" t="n"/>
      <c r="Q24" s="202" t="n"/>
      <c r="R24" s="195" t="n"/>
      <c r="S24" s="195" t="n"/>
    </row>
    <row r="25" ht="15.75" customHeight="1" s="144">
      <c r="A25" s="203" t="inlineStr">
        <is>
          <t>Patente Concedida</t>
        </is>
      </c>
      <c r="B25" s="204" t="n"/>
      <c r="C25" s="204" t="n"/>
      <c r="D25" s="204" t="n"/>
      <c r="E25" s="204" t="n"/>
      <c r="F25" s="204" t="n"/>
      <c r="G25" s="204" t="n"/>
      <c r="H25" s="204" t="n"/>
      <c r="I25" s="204" t="n"/>
      <c r="J25" s="204" t="n"/>
      <c r="K25" s="204" t="n"/>
      <c r="L25" s="204" t="n"/>
      <c r="M25" s="204" t="n"/>
      <c r="N25" s="204" t="n"/>
      <c r="O25" s="204" t="n"/>
      <c r="P25" s="204" t="n"/>
      <c r="Q25" s="204" t="n"/>
      <c r="R25" s="195" t="n"/>
      <c r="S25" s="195" t="n"/>
    </row>
    <row r="26" ht="15.75" customHeight="1" s="144">
      <c r="A26" s="205" t="inlineStr">
        <is>
          <t>Produto Técnico</t>
        </is>
      </c>
      <c r="B26" s="206">
        <f>SUM(Tecnica!H:H)</f>
        <v/>
      </c>
      <c r="C26" s="206">
        <f>SUM(Tecnica!I:I)</f>
        <v/>
      </c>
      <c r="D26" s="206">
        <f>SUM(Tecnica!J:J)</f>
        <v/>
      </c>
      <c r="E26" s="206">
        <f>SUM(Tecnica!K:K)</f>
        <v/>
      </c>
      <c r="F26" s="206">
        <f>SUM(Tecnica!L:L)</f>
        <v/>
      </c>
      <c r="G26" s="206">
        <f>SUM(Tecnica!M:M)</f>
        <v/>
      </c>
      <c r="H26" s="206">
        <f>SUM(Tecnica!N:N)</f>
        <v/>
      </c>
      <c r="I26" s="206">
        <f>SUM(Tecnica!O:O)</f>
        <v/>
      </c>
      <c r="J26" s="206">
        <f>SUM(Tecnica!P:P)</f>
        <v/>
      </c>
      <c r="K26" s="206">
        <f>SUM(Tecnica!Q:Q)</f>
        <v/>
      </c>
      <c r="L26" s="206">
        <f>SUM(Tecnica!R:R)</f>
        <v/>
      </c>
      <c r="M26" s="206">
        <f>SUM(Tecnica!S:S)</f>
        <v/>
      </c>
      <c r="N26" s="206">
        <f>SUM(Tecnica!T:T)</f>
        <v/>
      </c>
      <c r="O26" s="206">
        <f>SUM(Tecnica!U:U)</f>
        <v/>
      </c>
      <c r="P26" s="206">
        <f>SUM(Tecnica!V:V)</f>
        <v/>
      </c>
      <c r="Q26" s="206">
        <f>SUM(Tecnica!W:W)</f>
        <v/>
      </c>
      <c r="R26" s="195" t="n"/>
      <c r="S26" s="195" t="n"/>
    </row>
    <row r="27" ht="15.75" customHeight="1" s="144">
      <c r="A27" s="189" t="n"/>
      <c r="B27" s="190" t="n"/>
      <c r="C27" s="190" t="n"/>
      <c r="D27" s="190" t="n"/>
      <c r="E27" s="190" t="n"/>
      <c r="F27" s="190" t="n"/>
      <c r="G27" s="190" t="n"/>
      <c r="H27" s="190" t="n"/>
      <c r="I27" s="190" t="n"/>
      <c r="J27" s="190" t="n"/>
      <c r="K27" s="190" t="n"/>
      <c r="L27" s="190" t="n"/>
      <c r="M27" s="190" t="n"/>
      <c r="N27" s="190" t="n"/>
      <c r="O27" s="190" t="n"/>
      <c r="P27" s="190" t="n"/>
      <c r="Q27" s="190" t="n"/>
      <c r="R27" s="195" t="n"/>
      <c r="S27" s="195" t="n"/>
    </row>
    <row r="28" ht="15.75" customHeight="1" s="144">
      <c r="A28" s="200" t="inlineStr">
        <is>
          <t>Recredenciamento</t>
        </is>
      </c>
    </row>
    <row r="29" ht="15.75" customHeight="1" s="144">
      <c r="A29" s="207" t="inlineStr">
        <is>
          <t>Conferencias</t>
        </is>
      </c>
      <c r="B29" s="208">
        <f>SUMIFS(#REF!,Conferencias!K:K,1)</f>
        <v/>
      </c>
      <c r="C29" s="208">
        <f>SUMIFS(#REF!,#REF!,1)</f>
        <v/>
      </c>
      <c r="D29" s="208">
        <f>SUMIFS(#REF!,#REF!,1)</f>
        <v/>
      </c>
      <c r="E29" s="208">
        <f>SUMIFS(#REF!,#REF!,1)</f>
        <v/>
      </c>
      <c r="F29" s="208">
        <f>SUMIFS(#REF!,#REF!,1)</f>
        <v/>
      </c>
      <c r="G29" s="208">
        <f>SUMIFS(#REF!,#REF!,1)</f>
        <v/>
      </c>
      <c r="H29" s="208">
        <f>SUMIFS(#REF!,#REF!,1)</f>
        <v/>
      </c>
      <c r="I29" s="208">
        <f>SUMIFS(#REF!,#REF!,1)</f>
        <v/>
      </c>
      <c r="J29" s="208">
        <f>SUMIFS(#REF!,#REF!,1)</f>
        <v/>
      </c>
      <c r="K29" s="208">
        <f>SUMIFS(#REF!,#REF!,1)</f>
        <v/>
      </c>
      <c r="L29" s="208">
        <f>SUMIFS(#REF!,#REF!,1)</f>
        <v/>
      </c>
      <c r="M29" s="208">
        <f>SUMIFS(#REF!,#REF!,1)</f>
        <v/>
      </c>
      <c r="N29" s="208">
        <f>SUMIFS(#REF!,#REF!,1)</f>
        <v/>
      </c>
      <c r="O29" s="208">
        <f>SUMIFS(#REF!,#REF!,1)</f>
        <v/>
      </c>
      <c r="P29" s="208">
        <f>SUMIFS(#REF!,#REF!,1)</f>
        <v/>
      </c>
      <c r="Q29" s="208">
        <f>SUMIFS(#REF!,#REF!,1)</f>
        <v/>
      </c>
    </row>
    <row r="30" ht="15.75" customHeight="1" s="144">
      <c r="A30" s="189" t="inlineStr">
        <is>
          <t>Periódicos</t>
        </is>
      </c>
      <c r="B30" s="195">
        <f>SUMIFS(Periodicos!$AE:$AE,Periodicos!K:K,1)</f>
        <v/>
      </c>
      <c r="C30" s="195">
        <f>SUMIFS(Periodicos!$AE:$AE,Periodicos!L:L,1)</f>
        <v/>
      </c>
      <c r="D30" s="195">
        <f>SUMIFS(Periodicos!$AE:$AE,Periodicos!M:M,1)</f>
        <v/>
      </c>
      <c r="E30" s="195">
        <f>SUMIFS(Periodicos!$AE:$AE,Periodicos!N:N,1)</f>
        <v/>
      </c>
      <c r="F30" s="195">
        <f>SUMIFS(Periodicos!$AE:$AE,Periodicos!O:O,1)</f>
        <v/>
      </c>
      <c r="G30" s="195">
        <f>SUMIFS(Periodicos!$AE:$AE,Periodicos!P:P,1)</f>
        <v/>
      </c>
      <c r="H30" s="195">
        <f>SUMIFS(Periodicos!$AE:$AE,Periodicos!Q:Q,1)</f>
        <v/>
      </c>
      <c r="I30" s="195">
        <f>SUMIFS(Periodicos!$AE:$AE,Periodicos!S:S,1)</f>
        <v/>
      </c>
      <c r="J30" s="195">
        <f>SUMIFS(Periodicos!$AE:$AE,Periodicos!S:S,1)</f>
        <v/>
      </c>
      <c r="K30" s="195">
        <f>SUMIFS(Periodicos!$AE:$AE,Periodicos!T:T,1)</f>
        <v/>
      </c>
      <c r="L30" s="195">
        <f>SUMIFS(Periodicos!$AE:$AE,Periodicos!U:U,1)</f>
        <v/>
      </c>
      <c r="M30" s="195">
        <f>SUMIFS(Periodicos!$AE:$AE,Periodicos!V:V,1)</f>
        <v/>
      </c>
      <c r="N30" s="195">
        <f>SUMIFS(Periodicos!$AE:$AE,Periodicos!W:W,1)</f>
        <v/>
      </c>
      <c r="O30" s="195">
        <f>SUMIFS(Periodicos!$AE:$AE,Periodicos!X:X,1)</f>
        <v/>
      </c>
      <c r="P30" s="195">
        <f>SUMIFS(Periodicos!$AE:$AE,Periodicos!Y:Y,1)</f>
        <v/>
      </c>
      <c r="Q30" s="195">
        <f>SUMIFS(Periodicos!$AE:$AE,Periodicos!Z:Z,1)</f>
        <v/>
      </c>
      <c r="S30" s="176" t="inlineStr">
        <is>
          <t>&gt;= 1,4</t>
        </is>
      </c>
    </row>
    <row r="31" ht="15.75" customHeight="1" s="144">
      <c r="A31" s="185" t="inlineStr">
        <is>
          <t>Restrito</t>
        </is>
      </c>
      <c r="B31" s="209">
        <f>SUMIFS(#REF!,Conferencias!K:K,1,Conferencias!$H:$H,1)+SUMIFS(Periodicos!$AB:$AB,Periodicos!K:K,1,Periodicos!$H:$H,1)</f>
        <v/>
      </c>
      <c r="C31" s="209">
        <f>SUMIFS(#REF!,#REF!,1,Conferencias!$H:$H,1)+SUMIFS(Periodicos!$AB:$AB,Periodicos!L:L,1,Periodicos!$H:$H,1)</f>
        <v/>
      </c>
      <c r="D31" s="209">
        <f>SUMIFS(#REF!,#REF!,1,Conferencias!$H:$H,1)+SUMIFS(Periodicos!$AB:$AB,Periodicos!M:M,1,Periodicos!$H:$H,1)</f>
        <v/>
      </c>
      <c r="E31" s="209">
        <f>SUMIFS(#REF!,#REF!,1,Conferencias!$H:$H,1)+SUMIFS(Periodicos!$AB:$AB,Periodicos!N:N,1,Periodicos!$H:$H,1)</f>
        <v/>
      </c>
      <c r="F31" s="209">
        <f>SUMIFS(#REF!,#REF!,1,Conferencias!$H:$H,1)+SUMIFS(Periodicos!$AB:$AB,Periodicos!O:O,1,Periodicos!$H:$H,1)</f>
        <v/>
      </c>
      <c r="G31" s="209">
        <f>SUMIFS(#REF!,#REF!,1,Conferencias!$H:$H,1)+SUMIFS(Periodicos!$AB:$AB,Periodicos!P:P,1,Periodicos!$H:$H,1)</f>
        <v/>
      </c>
      <c r="H31" s="209">
        <f>SUMIFS(#REF!,#REF!,1,Conferencias!$H:$H,1)+SUMIFS(Periodicos!$AB:$AB,Periodicos!Q:Q,1,Periodicos!$H:$H,1)</f>
        <v/>
      </c>
      <c r="I31" s="209">
        <f>SUMIFS(#REF!,#REF!,1,Conferencias!$H:$H,1)+SUMIFS(Periodicos!$AB:$AB,Periodicos!R:R,1,Periodicos!$H:$H,1)</f>
        <v/>
      </c>
      <c r="J31" s="209">
        <f>SUMIFS(#REF!,#REF!,1,Conferencias!$H:$H,1)+SUMIFS(Periodicos!$AB:$AB,Periodicos!S:S,1,Periodicos!$H:$H,1)</f>
        <v/>
      </c>
      <c r="K31" s="209">
        <f>SUMIFS(#REF!,#REF!,1,Conferencias!$H:$H,1)+SUMIFS(Periodicos!$AB:$AB,Periodicos!T:T,1,Periodicos!$H:$H,1)</f>
        <v/>
      </c>
      <c r="L31" s="209">
        <f>SUMIFS(#REF!,#REF!,1,Conferencias!$H:$H,1)+SUMIFS(Periodicos!$AB:$AB,Periodicos!U:U,1,Periodicos!$H:$H,1)</f>
        <v/>
      </c>
      <c r="M31" s="209">
        <f>SUMIFS(#REF!,#REF!,1,Conferencias!$H:$H,1)+SUMIFS(Periodicos!$AB:$AB,Periodicos!V:V,1,Periodicos!$H:$H,1)</f>
        <v/>
      </c>
      <c r="N31" s="209">
        <f>SUMIFS(#REF!,#REF!,1,Conferencias!$H:$H,1)+SUMIFS(Periodicos!$AB:$AB,Periodicos!W:W,1,Periodicos!$H:$H,1)</f>
        <v/>
      </c>
      <c r="O31" s="209">
        <f>SUMIFS(#REF!,#REF!,1,Conferencias!$H:$H,1)+SUMIFS(Periodicos!$AB:$AB,Periodicos!X:X,1,Periodicos!$H:$H,1)</f>
        <v/>
      </c>
      <c r="P31" s="209">
        <f>SUMIFS(#REF!,#REF!,1,Conferencias!$H:$H,1)+SUMIFS(Periodicos!$AB:$AB,Periodicos!Y:Y,1,Periodicos!$H:$H,1)</f>
        <v/>
      </c>
      <c r="Q31" s="209">
        <f>SUMIFS(#REF!,#REF!,1,Conferencias!$H:$H,1)+SUMIFS(Periodicos!$AB:$AB,Periodicos!Z:Z,1,Periodicos!$H:$H,1)</f>
        <v/>
      </c>
      <c r="S31" s="176" t="inlineStr">
        <is>
          <t>&gt;= 2,8</t>
        </is>
      </c>
    </row>
    <row r="32" ht="15.75" customHeight="1" s="144">
      <c r="A32" s="210" t="inlineStr">
        <is>
          <t>Total Geral</t>
        </is>
      </c>
      <c r="B32" s="211">
        <f>B29+B30+2*B24+3*B25+MIN(B26*0.2,0.8)</f>
        <v/>
      </c>
      <c r="C32" s="211">
        <f>C29+C30+2*C24+3*C25+MIN(C26*0.2,0.8)</f>
        <v/>
      </c>
      <c r="D32" s="211">
        <f>D29+D30+2*D24+3*D25+MIN(D26*0.2,0.8)</f>
        <v/>
      </c>
      <c r="E32" s="211">
        <f>E29+E30+2*E24+3*E25+MIN(E26*0.2,0.8)</f>
        <v/>
      </c>
      <c r="F32" s="211">
        <f>F29+F30+2*F24+3*F25+MIN(F26*0.2,0.8)</f>
        <v/>
      </c>
      <c r="G32" s="211">
        <f>G29+G30+2*G24+3*G25+MIN(G26*0.2,0.8)</f>
        <v/>
      </c>
      <c r="H32" s="211">
        <f>H29+H30+2*H24+3*H25+MIN(H26*0.2,0.8)</f>
        <v/>
      </c>
      <c r="I32" s="211">
        <f>I29+I30+2*I24+3*I25+MIN(I26*0.2,0.8)</f>
        <v/>
      </c>
      <c r="J32" s="211">
        <f>J29+J30+2*J24+3*J25+MIN(J26*0.2,0.8)</f>
        <v/>
      </c>
      <c r="K32" s="211">
        <f>K29+K30+2*K24+3*K25+MIN(K26*0.2,0.8)</f>
        <v/>
      </c>
      <c r="L32" s="211">
        <f>L29+L30+2*L24+3*L25+MIN(L26*0.2,0.8)</f>
        <v/>
      </c>
      <c r="M32" s="211">
        <f>M29+M30+2*M24+3*M25+MIN(M26*0.2,0.8)</f>
        <v/>
      </c>
      <c r="N32" s="211">
        <f>N29+N30+2*N24+3*N25+MIN(N26*0.2,0.8)</f>
        <v/>
      </c>
      <c r="O32" s="211">
        <f>O29+O30+2*O24+3*O25+MIN(O26*0.2,0.8)</f>
        <v/>
      </c>
      <c r="P32" s="211">
        <f>P29+P30+2*P24+3*P25+MIN(P26*0.2,0.8)</f>
        <v/>
      </c>
      <c r="Q32" s="211">
        <f>Q29+Q30+2*Q24+3*Q25+MIN(Q26*0.2,0.8)</f>
        <v/>
      </c>
      <c r="S32" s="176" t="inlineStr">
        <is>
          <t>&gt;= 4,0</t>
        </is>
      </c>
      <c r="X32" s="176" t="n"/>
    </row>
    <row r="33" ht="15.75" customHeight="1" s="144">
      <c r="X33" s="176" t="n"/>
    </row>
    <row r="35" ht="15.75" customHeight="1" s="144">
      <c r="A35" s="207" t="inlineStr">
        <is>
          <t>Orientações PPCIC (andamento)</t>
        </is>
      </c>
      <c r="B35" s="207" t="n"/>
      <c r="C35" s="207" t="n"/>
      <c r="D35" s="207" t="n"/>
      <c r="E35" s="207" t="n"/>
      <c r="F35" s="207" t="n"/>
      <c r="G35" s="207" t="n"/>
      <c r="H35" s="207" t="n"/>
      <c r="I35" s="207" t="n"/>
      <c r="J35" s="207" t="n"/>
      <c r="K35" s="207" t="n"/>
      <c r="L35" s="207" t="n"/>
      <c r="M35" s="207" t="n"/>
      <c r="N35" s="207" t="n"/>
      <c r="O35" s="207" t="n"/>
      <c r="P35" s="207" t="n"/>
      <c r="Q35" s="207" t="n"/>
    </row>
    <row r="36" ht="15.75" customHeight="1" s="144">
      <c r="A36" s="189" t="n"/>
      <c r="B36" s="189" t="n"/>
      <c r="C36" s="189" t="n"/>
      <c r="D36" s="189" t="n"/>
      <c r="E36" s="189" t="n"/>
      <c r="F36" s="189" t="n"/>
      <c r="G36" s="189" t="n"/>
      <c r="H36" s="189" t="n"/>
      <c r="I36" s="189" t="n"/>
      <c r="J36" s="189" t="n"/>
      <c r="K36" s="189" t="n"/>
      <c r="L36" s="189" t="n"/>
      <c r="M36" s="189" t="n"/>
      <c r="N36" s="189" t="n"/>
      <c r="O36" s="189" t="n"/>
      <c r="P36" s="189" t="n"/>
      <c r="Q36" s="189" t="n"/>
    </row>
    <row r="37" ht="15.75" customHeight="1" s="144">
      <c r="A37" s="207" t="inlineStr">
        <is>
          <t>Defesas 2021</t>
        </is>
      </c>
      <c r="B37" s="207" t="n"/>
      <c r="C37" s="207" t="n"/>
      <c r="D37" s="207" t="n"/>
      <c r="E37" s="207" t="n"/>
      <c r="F37" s="207" t="n"/>
      <c r="G37" s="207" t="n"/>
      <c r="H37" s="207" t="n"/>
      <c r="I37" s="207" t="n"/>
      <c r="J37" s="207" t="n"/>
      <c r="K37" s="207" t="n"/>
      <c r="L37" s="207" t="n"/>
      <c r="M37" s="207" t="n"/>
      <c r="N37" s="207" t="n"/>
      <c r="O37" s="207" t="n"/>
      <c r="P37" s="207" t="n"/>
      <c r="Q37" s="207" t="n"/>
    </row>
    <row r="38" ht="15.75" customHeight="1" s="144">
      <c r="A38" s="189" t="inlineStr">
        <is>
          <t>Defesas 2022</t>
        </is>
      </c>
      <c r="B38" s="189" t="n"/>
      <c r="C38" s="189" t="n"/>
      <c r="D38" s="189" t="n"/>
      <c r="E38" s="189" t="n"/>
      <c r="F38" s="189" t="n"/>
      <c r="G38" s="189" t="n"/>
      <c r="H38" s="189" t="n"/>
      <c r="I38" s="189" t="n"/>
      <c r="J38" s="189" t="n"/>
      <c r="K38" s="189" t="n"/>
      <c r="L38" s="189" t="n"/>
      <c r="M38" s="189" t="n"/>
      <c r="N38" s="189" t="n"/>
      <c r="O38" s="189" t="n"/>
      <c r="P38" s="189" t="n"/>
      <c r="Q38" s="189" t="n"/>
    </row>
    <row r="39" ht="15.75" customHeight="1" s="144">
      <c r="A39" s="185" t="inlineStr">
        <is>
          <t>Defesas 2023</t>
        </is>
      </c>
      <c r="B39" s="185" t="n"/>
      <c r="C39" s="185" t="n"/>
      <c r="D39" s="185" t="n"/>
      <c r="E39" s="185" t="n"/>
      <c r="F39" s="185" t="n"/>
      <c r="G39" s="185" t="n"/>
      <c r="H39" s="185" t="n"/>
      <c r="I39" s="185" t="n"/>
      <c r="J39" s="185" t="n"/>
      <c r="K39" s="185" t="n"/>
      <c r="L39" s="185" t="n"/>
      <c r="M39" s="185" t="n"/>
      <c r="N39" s="185" t="n"/>
      <c r="O39" s="185" t="n"/>
      <c r="P39" s="185" t="n"/>
      <c r="Q39" s="185" t="n"/>
    </row>
    <row r="40" ht="15.75" customHeight="1" s="144">
      <c r="A40" s="189" t="inlineStr">
        <is>
          <t>Defesas 2024</t>
        </is>
      </c>
      <c r="B40" s="189" t="n"/>
      <c r="C40" s="189" t="n"/>
      <c r="D40" s="189" t="n"/>
      <c r="E40" s="189" t="n"/>
      <c r="F40" s="189" t="n"/>
      <c r="G40" s="189" t="n"/>
      <c r="H40" s="189" t="n"/>
      <c r="I40" s="189" t="n"/>
      <c r="J40" s="189" t="n"/>
      <c r="K40" s="189" t="n"/>
      <c r="L40" s="189" t="n"/>
      <c r="M40" s="189" t="n"/>
      <c r="N40" s="189" t="n"/>
      <c r="O40" s="189" t="n"/>
      <c r="P40" s="189" t="n"/>
      <c r="Q40" s="189" t="n"/>
    </row>
    <row r="41" ht="15.75" customHeight="1" s="144">
      <c r="A41" s="207" t="inlineStr">
        <is>
          <t>IC 2021</t>
        </is>
      </c>
      <c r="B41" s="207" t="n"/>
      <c r="C41" s="207" t="n"/>
      <c r="D41" s="207" t="n"/>
      <c r="E41" s="207" t="n"/>
      <c r="F41" s="207" t="n"/>
      <c r="G41" s="207" t="n"/>
      <c r="H41" s="207" t="n"/>
      <c r="I41" s="207" t="n"/>
      <c r="J41" s="207" t="n"/>
      <c r="K41" s="207" t="n"/>
      <c r="L41" s="207" t="n"/>
      <c r="M41" s="207" t="n"/>
      <c r="N41" s="207" t="n"/>
      <c r="O41" s="207" t="n"/>
      <c r="P41" s="207" t="n"/>
      <c r="Q41" s="207" t="n"/>
    </row>
    <row r="42" ht="15.75" customHeight="1" s="144">
      <c r="A42" s="189" t="inlineStr">
        <is>
          <t>IC 2022</t>
        </is>
      </c>
      <c r="B42" s="189" t="n"/>
      <c r="C42" s="189" t="n"/>
      <c r="D42" s="189" t="n"/>
      <c r="E42" s="189" t="n"/>
      <c r="F42" s="189" t="n"/>
      <c r="G42" s="189" t="n"/>
      <c r="H42" s="189" t="n"/>
      <c r="I42" s="189" t="n"/>
      <c r="J42" s="189" t="n"/>
      <c r="K42" s="189" t="n"/>
      <c r="L42" s="189" t="n"/>
      <c r="M42" s="189" t="n"/>
      <c r="N42" s="189" t="n"/>
      <c r="O42" s="189" t="n"/>
      <c r="P42" s="189" t="n"/>
      <c r="Q42" s="189" t="n"/>
    </row>
    <row r="43" ht="15.75" customHeight="1" s="144">
      <c r="A43" s="185" t="inlineStr">
        <is>
          <t>IC 2023</t>
        </is>
      </c>
      <c r="B43" s="185" t="n"/>
      <c r="C43" s="185" t="n"/>
      <c r="D43" s="185" t="n"/>
      <c r="E43" s="185" t="n"/>
      <c r="F43" s="185" t="n"/>
      <c r="G43" s="185" t="n"/>
      <c r="H43" s="185" t="n"/>
      <c r="I43" s="185" t="n"/>
      <c r="J43" s="185" t="n"/>
      <c r="K43" s="185" t="n"/>
      <c r="L43" s="185" t="n"/>
      <c r="M43" s="185" t="n"/>
      <c r="N43" s="185" t="n"/>
      <c r="O43" s="185" t="n"/>
      <c r="P43" s="185" t="n"/>
      <c r="Q43" s="185" t="n"/>
    </row>
    <row r="44" ht="15.75" customHeight="1" s="144">
      <c r="A44" s="189" t="inlineStr">
        <is>
          <t>IC 2024</t>
        </is>
      </c>
      <c r="B44" s="189" t="n"/>
      <c r="C44" s="189" t="n"/>
      <c r="D44" s="189" t="n"/>
      <c r="E44" s="189" t="n"/>
      <c r="F44" s="189" t="n"/>
      <c r="G44" s="189" t="n"/>
      <c r="H44" s="189" t="n"/>
      <c r="I44" s="189" t="n"/>
      <c r="J44" s="189" t="n"/>
      <c r="K44" s="189" t="n"/>
      <c r="L44" s="189" t="n"/>
      <c r="M44" s="189" t="n"/>
      <c r="N44" s="189" t="n"/>
      <c r="O44" s="189" t="n"/>
      <c r="P44" s="189" t="n"/>
      <c r="Q44" s="189" t="n"/>
    </row>
    <row r="45" ht="15.75" customHeight="1" s="144">
      <c r="A45" s="207" t="inlineStr">
        <is>
          <t>TCC 2021</t>
        </is>
      </c>
      <c r="B45" s="207" t="n"/>
      <c r="C45" s="207" t="n"/>
      <c r="D45" s="207" t="n"/>
      <c r="E45" s="207" t="n"/>
      <c r="F45" s="207" t="n"/>
      <c r="G45" s="207" t="n"/>
      <c r="H45" s="207" t="n"/>
      <c r="I45" s="207" t="n"/>
      <c r="J45" s="207" t="n"/>
      <c r="K45" s="207" t="n"/>
      <c r="L45" s="207" t="n"/>
      <c r="M45" s="207" t="n"/>
      <c r="N45" s="207" t="n"/>
      <c r="O45" s="207" t="n"/>
      <c r="P45" s="207" t="n"/>
      <c r="Q45" s="207" t="n"/>
    </row>
    <row r="46" ht="15.75" customHeight="1" s="144">
      <c r="A46" s="189" t="inlineStr">
        <is>
          <t>TCC 2022</t>
        </is>
      </c>
      <c r="B46" s="189" t="n"/>
      <c r="C46" s="189" t="n"/>
      <c r="D46" s="189" t="n"/>
      <c r="E46" s="189" t="n"/>
      <c r="F46" s="189" t="n"/>
      <c r="G46" s="189" t="n"/>
      <c r="H46" s="189" t="n"/>
      <c r="I46" s="189" t="n"/>
      <c r="J46" s="189" t="n"/>
      <c r="K46" s="189" t="n"/>
      <c r="L46" s="189" t="n"/>
      <c r="M46" s="189" t="n"/>
      <c r="N46" s="189" t="n"/>
      <c r="O46" s="189" t="n"/>
      <c r="P46" s="189" t="n"/>
      <c r="Q46" s="189" t="n"/>
    </row>
    <row r="47" ht="15.75" customHeight="1" s="144">
      <c r="A47" s="185" t="inlineStr">
        <is>
          <t>TCC 2023</t>
        </is>
      </c>
      <c r="B47" s="185" t="n"/>
      <c r="C47" s="185" t="n"/>
      <c r="D47" s="185" t="n"/>
      <c r="E47" s="185" t="n"/>
      <c r="F47" s="185" t="n"/>
      <c r="G47" s="185" t="n"/>
      <c r="H47" s="185" t="n"/>
      <c r="I47" s="185" t="n"/>
      <c r="J47" s="185" t="n"/>
      <c r="K47" s="185" t="n"/>
      <c r="L47" s="185" t="n"/>
      <c r="M47" s="185" t="n"/>
      <c r="N47" s="185" t="n"/>
      <c r="O47" s="185" t="n"/>
      <c r="P47" s="185" t="n"/>
      <c r="Q47" s="185" t="n"/>
    </row>
    <row r="48" ht="15.75" customHeight="1" s="144">
      <c r="A48" s="189" t="inlineStr">
        <is>
          <t>TCC 2024</t>
        </is>
      </c>
      <c r="B48" s="189" t="n"/>
      <c r="C48" s="189" t="n"/>
      <c r="D48" s="189" t="n"/>
      <c r="E48" s="189" t="n"/>
      <c r="F48" s="189" t="n"/>
      <c r="G48" s="189" t="n"/>
      <c r="H48" s="189" t="n"/>
      <c r="I48" s="189" t="n"/>
      <c r="J48" s="189" t="n"/>
      <c r="K48" s="189" t="n"/>
      <c r="L48" s="189" t="n"/>
      <c r="M48" s="189" t="n"/>
      <c r="N48" s="189" t="n"/>
      <c r="O48" s="189" t="n"/>
      <c r="P48" s="189" t="n"/>
      <c r="Q48" s="189" t="n"/>
    </row>
    <row r="49" ht="15.75" customHeight="1" s="144">
      <c r="A49" s="212" t="n"/>
      <c r="B49" s="212" t="n"/>
      <c r="C49" s="212" t="n"/>
      <c r="D49" s="212" t="n"/>
      <c r="E49" s="212" t="n"/>
      <c r="F49" s="212" t="n"/>
      <c r="G49" s="212" t="n"/>
      <c r="H49" s="212" t="n"/>
      <c r="I49" s="212" t="n"/>
      <c r="J49" s="212" t="n"/>
      <c r="K49" s="212" t="n"/>
      <c r="L49" s="212" t="n"/>
      <c r="M49" s="212" t="n"/>
      <c r="N49" s="212" t="n"/>
      <c r="O49" s="212" t="n"/>
      <c r="P49" s="212" t="n"/>
      <c r="Q49" s="212" t="n"/>
      <c r="R49" s="212" t="n"/>
      <c r="S49" s="212" t="n"/>
    </row>
  </sheetData>
  <conditionalFormatting sqref="B31:Q31">
    <cfRule type="cellIs" rank="0" priority="2" equalAverage="0" operator="lessThan" aboveAverage="0" dxfId="0" text="" percent="0" bottom="0">
      <formula>2.8</formula>
    </cfRule>
  </conditionalFormatting>
  <conditionalFormatting sqref="B32:Q32">
    <cfRule type="cellIs" rank="0" priority="3" equalAverage="0" operator="lessThan" aboveAverage="0" dxfId="0" text="" percent="0" bottom="0">
      <formula>4</formula>
    </cfRule>
  </conditionalFormatting>
  <conditionalFormatting sqref="B30:Q30">
    <cfRule type="cellIs" rank="0" priority="4" equalAverage="0" operator="lessThan" aboveAverage="0" dxfId="0" text="" percent="0" bottom="0">
      <formula>1.4</formula>
    </cfRule>
  </conditionalFormatting>
  <printOptions horizontalCentered="1" verticalCentered="1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B10"/>
  <sheetViews>
    <sheetView showFormulas="0" showGridLines="1" showRowColHeaders="1" showZeros="1" rightToLeft="0" tabSelected="1" showOutlineSymbols="1" defaultGridColor="1" view="normal" topLeftCell="A1" colorId="64" zoomScale="80" zoomScaleNormal="80" zoomScalePageLayoutView="100" workbookViewId="0">
      <pane xSplit="2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O8" activeCellId="0" sqref="O8"/>
    </sheetView>
  </sheetViews>
  <sheetFormatPr baseColWidth="8" defaultColWidth="11.00390625" defaultRowHeight="15" zeroHeight="0" outlineLevelRow="0"/>
  <cols>
    <col width="5.12" customWidth="1" style="150" min="1" max="1"/>
    <col width="4.5" customWidth="1" style="150" min="2" max="2"/>
    <col width="69.38" customWidth="1" style="175" min="3" max="3"/>
    <col width="50.62" customWidth="1" style="175" min="4" max="4"/>
    <col width="40.12" customWidth="1" style="175" min="5" max="5"/>
    <col width="14.5" customWidth="1" style="213" min="6" max="6"/>
    <col width="6.88" customWidth="1" style="214" min="7" max="7"/>
    <col width="9.619999999999999" customWidth="1" style="214" min="8" max="8"/>
    <col width="4.62" customWidth="1" style="214" min="9" max="9"/>
    <col width="1.88" customWidth="1" style="175" min="10" max="10"/>
    <col width="10.49" customWidth="1" style="148" min="11" max="11"/>
    <col width="10.49" customWidth="1" style="175" min="12" max="12"/>
    <col width="10.49" customWidth="1" style="175" min="16354" max="16384"/>
  </cols>
  <sheetData>
    <row r="1" ht="126.75" customFormat="1" customHeight="1" s="215">
      <c r="A1" s="216" t="inlineStr">
        <is>
          <t>Ano</t>
        </is>
      </c>
      <c r="B1" s="216" t="inlineStr">
        <is>
          <t>Numero</t>
        </is>
      </c>
      <c r="C1" s="215" t="inlineStr">
        <is>
          <t>Artigo</t>
        </is>
      </c>
      <c r="D1" s="215" t="inlineStr">
        <is>
          <t>Fórum</t>
        </is>
      </c>
      <c r="E1" s="215" t="inlineStr">
        <is>
          <t>Discente</t>
        </is>
      </c>
      <c r="F1" s="217" t="inlineStr">
        <is>
          <t>Qualis</t>
        </is>
      </c>
      <c r="G1" s="217" t="inlineStr">
        <is>
          <t>Área</t>
        </is>
      </c>
      <c r="H1" s="217" t="inlineStr">
        <is>
          <t>Restrito</t>
        </is>
      </c>
      <c r="I1" s="218" t="inlineStr">
        <is>
          <t>Discente Programa</t>
        </is>
      </c>
      <c r="J1" s="216" t="n"/>
      <c r="K1" t="inlineStr">
        <is>
          <t>DIEGO NUNES BRANDAO</t>
        </is>
      </c>
      <c r="L1" t="inlineStr">
        <is>
          <t>EDUARDO BEZERRA DA SILVA</t>
        </is>
      </c>
      <c r="M1" t="inlineStr">
        <is>
          <t>EDUARDO SOARES OGASAWARA</t>
        </is>
      </c>
      <c r="N1" t="inlineStr">
        <is>
          <t>FELIPE DA ROCHA HENRIQUES</t>
        </is>
      </c>
      <c r="O1" t="inlineStr">
        <is>
          <t>GLAUCO FIOROTT AMORIM</t>
        </is>
      </c>
      <c r="P1" t="inlineStr">
        <is>
          <t>GUSTAVO PAIVA GUEDES E SILVA</t>
        </is>
      </c>
      <c r="Q1" t="inlineStr">
        <is>
          <t>JOAO ROBERTO DE TOLEDO QUADROS</t>
        </is>
      </c>
      <c r="R1" t="inlineStr">
        <is>
          <t>JOEL ANDRE FERREIRA DOS SANTOS</t>
        </is>
      </c>
      <c r="S1" t="inlineStr">
        <is>
          <t>JORGE DE ABREU SOARES</t>
        </is>
      </c>
      <c r="T1" t="inlineStr">
        <is>
          <t>KELE TEIXEIRA BELLOZE</t>
        </is>
      </c>
      <c r="U1" t="inlineStr">
        <is>
          <t>LAURA SILVA DE ASSIS</t>
        </is>
      </c>
      <c r="V1" t="inlineStr">
        <is>
          <t>PEDRO HENRIQUE GONZALEZ SILVA</t>
        </is>
      </c>
      <c r="W1" t="inlineStr">
        <is>
          <t>RAFAELLI DE CARVALHO COUTINHO</t>
        </is>
      </c>
      <c r="Y1" s="219" t="inlineStr">
        <is>
          <t>Qualis</t>
        </is>
      </c>
      <c r="Z1" s="220" t="inlineStr">
        <is>
          <t>Docentes</t>
        </is>
      </c>
      <c r="AA1" s="219" t="inlineStr">
        <is>
          <t>Fator</t>
        </is>
      </c>
      <c r="AB1" s="219" t="inlineStr">
        <is>
          <t>Credenciamento</t>
        </is>
      </c>
    </row>
    <row r="2" ht="15" customHeight="1" s="144">
      <c r="A2" s="150" t="n">
        <v>2022</v>
      </c>
      <c r="B2" s="150" t="n">
        <v>1</v>
      </c>
      <c r="C2" s="175" t="inlineStr">
        <is>
          <t>A Genetic Algorithm with Flexible Fitness Function for Feature Selection in Educational Data: Comparative Evaluation</t>
        </is>
      </c>
      <c r="D2" s="175" t="inlineStr">
        <is>
          <t>JOURNAL OF INFORMATION AND DATA MANAGEMENT - JIDM</t>
        </is>
      </c>
      <c r="E2" t="inlineStr">
        <is>
          <t>DANIELLE FONTES DE ALBUQUERQUE</t>
        </is>
      </c>
      <c r="F2" s="213" t="inlineStr">
        <is>
          <t>B3</t>
        </is>
      </c>
      <c r="G2" s="214">
        <f>VLOOKUP(D2, LConferencias!A:C,3,FALSE())</f>
        <v/>
      </c>
      <c r="H2" s="214">
        <f>VLOOKUP(D2, LConferencias!A:D,4,FALSE())</f>
        <v/>
      </c>
      <c r="I2" s="214">
        <f>IF(E2&lt;&gt;"",1,0)</f>
        <v/>
      </c>
      <c r="Y2" s="143">
        <f>VLOOKUP(F2, Tabelas!A:C,2,FALSE())</f>
        <v/>
      </c>
      <c r="Z2" s="221">
        <f>SUM(K2:W2)</f>
        <v/>
      </c>
      <c r="AA2" s="222">
        <f>IF(Z2&lt;=2,1,1-LOG(Z2-1))</f>
        <v/>
      </c>
      <c r="AB2" s="223">
        <f>VLOOKUP(D2, LConferencias!A:E,5,FALSE())*IF(I2&gt;0,1.1,1)*AA2</f>
        <v/>
      </c>
    </row>
    <row r="3" ht="15.75" customHeight="1" s="144">
      <c r="A3" t="n">
        <v>2022</v>
      </c>
      <c r="B3" t="n">
        <v>2</v>
      </c>
      <c r="C3" t="inlineStr">
        <is>
          <t>DETECÇÃO E DESCARTE DE ERROS GROSSEIROS OBTIDOS NA ESTIMAÇÃO DE ESTADO EM LINHAS DE TRANSMISSÃO</t>
        </is>
      </c>
      <c r="D3" t="inlineStr">
        <is>
          <t>REVISTA DE ENGENHARIA E TECNOLOGIA</t>
        </is>
      </c>
      <c r="E3" t="inlineStr"/>
      <c r="F3" s="213" t="inlineStr">
        <is>
          <t>C</t>
        </is>
      </c>
      <c r="G3" s="214">
        <f>VLOOKUP(D3, LConferencias!A:C,3,FALSE())</f>
        <v/>
      </c>
      <c r="H3" s="214">
        <f>VLOOKUP(D3, LConferencias!A:D,4,FALSE())</f>
        <v/>
      </c>
      <c r="I3" s="214">
        <f>IF(E3&lt;&gt;"",1,0)</f>
        <v/>
      </c>
      <c r="Y3" s="143">
        <f>VLOOKUP(F3, Tabelas!A:C,2,FALSE())</f>
        <v/>
      </c>
      <c r="Z3" s="221">
        <f>SUM(K3:W3)</f>
        <v/>
      </c>
      <c r="AA3" s="222">
        <f>IF(Z3&lt;=2,1,1-LOG(Z3-1))</f>
        <v/>
      </c>
      <c r="AB3" s="223">
        <f>VLOOKUP(D3, LConferencias!A:E,5,FALSE())*IF(I3&gt;0,1.1,1)*AA3</f>
        <v/>
      </c>
    </row>
    <row r="4">
      <c r="A4" t="n">
        <v>2022</v>
      </c>
      <c r="B4" t="n">
        <v>3</v>
      </c>
      <c r="C4" t="inlineStr">
        <is>
          <t>Motion Sensors for Knee Angle Recognition in Muscle Rehabilitation Solution</t>
        </is>
      </c>
      <c r="D4" t="inlineStr">
        <is>
          <t>SENSORS (BASEL)</t>
        </is>
      </c>
      <c r="E4" t="inlineStr">
        <is>
          <t>MATEUS DO AMOR DEVINO PEREIRA,ALEXANDER BARROS DA SILVA</t>
        </is>
      </c>
      <c r="F4" t="inlineStr">
        <is>
          <t>A1</t>
        </is>
      </c>
      <c r="G4">
        <f>VLOOKUP(D4, LConferencias!A:C,3,FALSE())</f>
        <v/>
      </c>
      <c r="H4">
        <f>VLOOKUP(D4, LConferencias!A:D,4,FALSE())</f>
        <v/>
      </c>
      <c r="I4">
        <f>IF(E4&lt;&gt;"",1,0)</f>
        <v/>
      </c>
      <c r="Y4">
        <f>VLOOKUP(F4, Tabelas!A:C,2,FALSE())</f>
        <v/>
      </c>
      <c r="Z4">
        <f>SUM(K4:W4)</f>
        <v/>
      </c>
      <c r="AA4">
        <f>IF(Z4&lt;=2,1,1-LOG(Z4-1))</f>
        <v/>
      </c>
      <c r="AB4">
        <f>VLOOKUP(D4, LConferencias!A:E,5,FALSE())*IF(I4&gt;0,1.1,1)*AA4</f>
        <v/>
      </c>
    </row>
    <row r="5">
      <c r="A5" t="n">
        <v>2022</v>
      </c>
      <c r="B5" t="n">
        <v>4</v>
      </c>
      <c r="C5" t="inlineStr">
        <is>
          <t>Intelligent Detection of Arrhythmia Episodes in Dialysis Patients</t>
        </is>
      </c>
      <c r="D5" t="inlineStr">
        <is>
          <t>LEARNING AND NONLINEAR MODELS</t>
        </is>
      </c>
      <c r="E5" t="inlineStr"/>
      <c r="F5" t="inlineStr">
        <is>
          <t>B2</t>
        </is>
      </c>
      <c r="G5">
        <f>VLOOKUP(D5, LConferencias!A:C,3,FALSE())</f>
        <v/>
      </c>
      <c r="H5">
        <f>VLOOKUP(D5, LConferencias!A:D,4,FALSE())</f>
        <v/>
      </c>
      <c r="I5">
        <f>IF(E5&lt;&gt;"",1,0)</f>
        <v/>
      </c>
      <c r="Y5">
        <f>VLOOKUP(F5, Tabelas!A:C,2,FALSE())</f>
        <v/>
      </c>
      <c r="Z5">
        <f>SUM(K5:W5)</f>
        <v/>
      </c>
      <c r="AA5">
        <f>IF(Z5&lt;=2,1,1-LOG(Z5-1))</f>
        <v/>
      </c>
      <c r="AB5">
        <f>VLOOKUP(D5, LConferencias!A:E,5,FALSE())*IF(I5&gt;0,1.1,1)*AA5</f>
        <v/>
      </c>
    </row>
    <row r="6">
      <c r="A6" t="n">
        <v>2022</v>
      </c>
      <c r="B6" t="n">
        <v>5</v>
      </c>
      <c r="C6" t="inlineStr">
        <is>
          <t>Digital Twins-Based Self-Regulation System for Instrumentation Networks in IoT Applications</t>
        </is>
      </c>
      <c r="D6" t="inlineStr">
        <is>
          <t>RESEARCH INVENTY: INTERNATIONAL JOURNAL OF ENGINEERING AND SCIENCE</t>
        </is>
      </c>
      <c r="E6" t="inlineStr"/>
      <c r="F6" t="inlineStr">
        <is>
          <t>B2</t>
        </is>
      </c>
      <c r="G6">
        <f>VLOOKUP(D6, LConferencias!A:C,3,FALSE())</f>
        <v/>
      </c>
      <c r="H6">
        <f>VLOOKUP(D6, LConferencias!A:D,4,FALSE())</f>
        <v/>
      </c>
      <c r="I6">
        <f>IF(E6&lt;&gt;"",1,0)</f>
        <v/>
      </c>
      <c r="Y6">
        <f>VLOOKUP(F6, Tabelas!A:C,2,FALSE())</f>
        <v/>
      </c>
      <c r="Z6">
        <f>SUM(K6:W6)</f>
        <v/>
      </c>
      <c r="AA6">
        <f>IF(Z6&lt;=2,1,1-LOG(Z6-1))</f>
        <v/>
      </c>
      <c r="AB6">
        <f>VLOOKUP(D6, LConferencias!A:E,5,FALSE())*IF(I6&gt;0,1.1,1)*AA6</f>
        <v/>
      </c>
    </row>
    <row r="7">
      <c r="A7" t="n">
        <v>2022</v>
      </c>
      <c r="B7" t="n">
        <v>6</v>
      </c>
      <c r="C7" t="inlineStr">
        <is>
          <t>O Uso de Simuladores no Ensino de Redes de Computadores</t>
        </is>
      </c>
      <c r="D7" t="inlineStr">
        <is>
          <t>REVISTA GUARÁ</t>
        </is>
      </c>
      <c r="E7" t="inlineStr"/>
      <c r="F7" t="inlineStr">
        <is>
          <t>C</t>
        </is>
      </c>
      <c r="G7">
        <f>VLOOKUP(D7, LConferencias!A:C,3,FALSE())</f>
        <v/>
      </c>
      <c r="H7">
        <f>VLOOKUP(D7, LConferencias!A:D,4,FALSE())</f>
        <v/>
      </c>
      <c r="I7">
        <f>IF(E7&lt;&gt;"",1,0)</f>
        <v/>
      </c>
      <c r="Y7">
        <f>VLOOKUP(F7, Tabelas!A:C,2,FALSE())</f>
        <v/>
      </c>
      <c r="Z7">
        <f>SUM(K7:W7)</f>
        <v/>
      </c>
      <c r="AA7">
        <f>IF(Z7&lt;=2,1,1-LOG(Z7-1))</f>
        <v/>
      </c>
      <c r="AB7">
        <f>VLOOKUP(D7, LConferencias!A:E,5,FALSE())*IF(I7&gt;0,1.1,1)*AA7</f>
        <v/>
      </c>
    </row>
    <row r="8">
      <c r="A8" t="n">
        <v>2022</v>
      </c>
      <c r="B8" t="n">
        <v>7</v>
      </c>
      <c r="C8" t="inlineStr">
        <is>
          <t>Ferramenta lúdica de ensino de disciplinas de exatas para nível médio: exemplo do uso do Cubo de Rubik em sala de aula para aprendizado de programação e matemática</t>
        </is>
      </c>
      <c r="D8" t="inlineStr">
        <is>
          <t>BRAZILIAN JOURNAL OF DEVELOPMENT</t>
        </is>
      </c>
      <c r="E8" t="inlineStr">
        <is>
          <t>ANDRÉ LUÍS NUNES,ARTHUR SILVEIRA</t>
        </is>
      </c>
      <c r="F8" t="inlineStr">
        <is>
          <t>B2</t>
        </is>
      </c>
      <c r="G8">
        <f>VLOOKUP(D8, LConferencias!A:C,3,FALSE())</f>
        <v/>
      </c>
      <c r="H8">
        <f>VLOOKUP(D8, LConferencias!A:D,4,FALSE())</f>
        <v/>
      </c>
      <c r="I8">
        <f>IF(E8&lt;&gt;"",1,0)</f>
        <v/>
      </c>
      <c r="Y8">
        <f>VLOOKUP(F8, Tabelas!A:C,2,FALSE())</f>
        <v/>
      </c>
      <c r="Z8">
        <f>SUM(K8:W8)</f>
        <v/>
      </c>
      <c r="AA8">
        <f>IF(Z8&lt;=2,1,1-LOG(Z8-1))</f>
        <v/>
      </c>
      <c r="AB8">
        <f>VLOOKUP(D8, LConferencias!A:E,5,FALSE())*IF(I8&gt;0,1.1,1)*AA8</f>
        <v/>
      </c>
    </row>
    <row r="9">
      <c r="A9" t="n">
        <v>2022</v>
      </c>
      <c r="B9" t="n">
        <v>8</v>
      </c>
      <c r="C9" t="inlineStr">
        <is>
          <t>A horizontal partitioning-based method for frequent pattern mining in transport timetable</t>
        </is>
      </c>
      <c r="D9" t="inlineStr">
        <is>
          <t>EXPERT SYSTEMS (PRINT)</t>
        </is>
      </c>
      <c r="E9" t="inlineStr"/>
      <c r="F9" t="inlineStr">
        <is>
          <t>A3</t>
        </is>
      </c>
      <c r="G9">
        <f>VLOOKUP(D9, LConferencias!A:C,3,FALSE())</f>
        <v/>
      </c>
      <c r="H9">
        <f>VLOOKUP(D9, LConferencias!A:D,4,FALSE())</f>
        <v/>
      </c>
      <c r="I9">
        <f>IF(E9&lt;&gt;"",1,0)</f>
        <v/>
      </c>
      <c r="Y9">
        <f>VLOOKUP(F9, Tabelas!A:C,2,FALSE())</f>
        <v/>
      </c>
      <c r="Z9">
        <f>SUM(K9:W9)</f>
        <v/>
      </c>
      <c r="AA9">
        <f>IF(Z9&lt;=2,1,1-LOG(Z9-1))</f>
        <v/>
      </c>
      <c r="AB9">
        <f>VLOOKUP(D9, LConferencias!A:E,5,FALSE())*IF(I9&gt;0,1.1,1)*AA9</f>
        <v/>
      </c>
    </row>
    <row r="10">
      <c r="A10" t="n">
        <v>2022</v>
      </c>
      <c r="B10" t="n">
        <v>9</v>
      </c>
      <c r="C10" t="inlineStr">
        <is>
          <t>Applying Gestalt approach as a method for teaching computer science practice in the classroom: A case study in primary schools in Brazil</t>
        </is>
      </c>
      <c r="D10" t="inlineStr">
        <is>
          <t>EDUCATION AND INFORMATION TECHNOLOGIES</t>
        </is>
      </c>
      <c r="E10" t="inlineStr">
        <is>
          <t>JOMAR FERREIRA MONSORES</t>
        </is>
      </c>
      <c r="F10" t="inlineStr">
        <is>
          <t>A1</t>
        </is>
      </c>
      <c r="G10">
        <f>VLOOKUP(D10, LConferencias!A:C,3,FALSE())</f>
        <v/>
      </c>
      <c r="H10">
        <f>VLOOKUP(D10, LConferencias!A:D,4,FALSE())</f>
        <v/>
      </c>
      <c r="I10">
        <f>IF(E10&lt;&gt;"",1,0)</f>
        <v/>
      </c>
      <c r="Y10">
        <f>VLOOKUP(F10, Tabelas!A:C,2,FALSE())</f>
        <v/>
      </c>
      <c r="Z10">
        <f>SUM(K10:W10)</f>
        <v/>
      </c>
      <c r="AA10">
        <f>IF(Z10&lt;=2,1,1-LOG(Z10-1))</f>
        <v/>
      </c>
      <c r="AB10">
        <f>VLOOKUP(D10, LConferencias!A:E,5,FALSE())*IF(I10&gt;0,1.1,1)*AA10</f>
        <v/>
      </c>
    </row>
    <row r="1048516" ht="12.75" customHeight="1" s="144"/>
    <row r="1048517" ht="12.75" customHeight="1" s="144"/>
    <row r="1048518" ht="12.75" customHeight="1" s="144"/>
    <row r="1048519" ht="12.75" customHeight="1" s="144"/>
    <row r="1048520" ht="12.75" customHeight="1" s="144"/>
    <row r="1048521" ht="12.75" customHeight="1" s="144"/>
    <row r="1048522" ht="12.75" customHeight="1" s="144"/>
    <row r="1048523" ht="12.75" customHeight="1" s="144"/>
    <row r="1048524" ht="12.75" customHeight="1" s="144"/>
    <row r="1048525" ht="12.75" customHeight="1" s="144"/>
    <row r="1048526" ht="12.75" customHeight="1" s="144"/>
    <row r="1048527" ht="12.75" customHeight="1" s="144"/>
    <row r="1048528" ht="12.75" customHeight="1" s="144"/>
    <row r="1048529" ht="12.75" customHeight="1" s="144"/>
    <row r="1048530" ht="12.75" customHeight="1" s="144"/>
    <row r="1048531" ht="12.75" customHeight="1" s="144"/>
    <row r="1048532" ht="12.75" customHeight="1" s="144"/>
    <row r="1048533" ht="12.75" customHeight="1" s="144"/>
    <row r="1048534" ht="12.75" customHeight="1" s="144"/>
    <row r="1048535" ht="12.75" customHeight="1" s="144"/>
    <row r="1048536" ht="12.75" customHeight="1" s="144"/>
    <row r="1048537" ht="12.75" customHeight="1" s="144"/>
    <row r="1048538" ht="12.75" customHeight="1" s="144"/>
    <row r="1048539" ht="12.75" customHeight="1" s="144"/>
    <row r="1048540" ht="12.75" customHeight="1" s="144"/>
    <row r="1048541" ht="12.75" customHeight="1" s="144"/>
    <row r="1048542" ht="12.75" customHeight="1" s="144"/>
    <row r="1048543" ht="12.75" customHeight="1" s="144"/>
    <row r="1048544" ht="12.75" customHeight="1" s="144"/>
    <row r="1048545" ht="12.75" customHeight="1" s="144"/>
    <row r="1048546" ht="12.75" customHeight="1" s="144"/>
    <row r="1048547" ht="12.75" customHeight="1" s="144"/>
    <row r="1048548" ht="12.75" customHeight="1" s="144"/>
    <row r="1048549" ht="12.75" customHeight="1" s="144"/>
    <row r="1048550" ht="12.75" customHeight="1" s="144"/>
    <row r="1048551" ht="12.75" customHeight="1" s="144"/>
    <row r="1048552" ht="12.75" customHeight="1" s="144"/>
    <row r="1048553" ht="12.75" customHeight="1" s="144"/>
    <row r="1048554" ht="12.75" customHeight="1" s="144"/>
    <row r="1048555" ht="12.75" customHeight="1" s="144"/>
    <row r="1048556" ht="12.75" customHeight="1" s="144"/>
    <row r="1048557" ht="12.75" customHeight="1" s="144"/>
    <row r="1048558" ht="12.75" customHeight="1" s="144"/>
    <row r="1048559" ht="12.75" customHeight="1" s="144"/>
    <row r="1048560" ht="12.75" customHeight="1" s="144"/>
    <row r="1048561" ht="12.75" customHeight="1" s="144"/>
    <row r="1048562" ht="12.75" customHeight="1" s="144"/>
    <row r="1048563" ht="12.75" customHeight="1" s="144"/>
    <row r="1048564" ht="12.75" customHeight="1" s="144"/>
    <row r="1048565" ht="12.75" customHeight="1" s="144"/>
    <row r="1048566" ht="12.75" customHeight="1" s="144"/>
    <row r="1048567" ht="12.75" customHeight="1" s="144"/>
    <row r="1048568" ht="12.75" customHeight="1" s="144"/>
    <row r="1048569" ht="12.75" customHeight="1" s="144"/>
    <row r="1048570" ht="12.75" customHeight="1" s="144"/>
    <row r="1048571" ht="12.75" customHeight="1" s="144"/>
    <row r="1048572" ht="12.75" customHeight="1" s="144"/>
    <row r="1048573" ht="12.75" customHeight="1" s="144"/>
    <row r="1048574" ht="12.75" customHeight="1" s="144"/>
    <row r="1048575" ht="12.75" customHeight="1" s="144"/>
    <row r="1048576" ht="12.75" customHeight="1" s="144"/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E39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pane xSplit="0" ySplit="1" topLeftCell="A29" activePane="bottomLeft" state="frozen"/>
      <selection pane="topLeft" activeCell="A1" activeCellId="0" sqref="A1"/>
      <selection pane="bottomLeft" activeCell="A47" activeCellId="0" sqref="A47"/>
    </sheetView>
  </sheetViews>
  <sheetFormatPr baseColWidth="8" defaultColWidth="11.00390625" defaultRowHeight="15.75" zeroHeight="0" outlineLevelRow="0"/>
  <cols>
    <col width="6.12" customWidth="1" style="150" min="1" max="1"/>
    <col width="7.38" customWidth="1" style="150" min="2" max="2"/>
    <col width="105.12" customWidth="1" style="175" min="3" max="3"/>
    <col width="46.62" customWidth="1" style="175" min="4" max="4"/>
    <col width="33.62" customWidth="1" style="175" min="5" max="5"/>
    <col width="8.119999999999999" customWidth="1" style="224" min="6" max="6"/>
    <col width="6.88" customWidth="1" style="224" min="7" max="7"/>
    <col width="9.619999999999999" customWidth="1" style="224" min="8" max="8"/>
    <col width="4.62" customWidth="1" style="224" min="9" max="9"/>
    <col width="1.62" customWidth="1" style="175" min="10" max="10"/>
    <col width="4.88" customWidth="1" style="148" min="11" max="26"/>
    <col width="1.62" customWidth="1" style="175" min="27" max="27"/>
    <col width="7.88" customWidth="1" style="225" min="28" max="28"/>
    <col width="5.62" customWidth="1" style="224" min="29" max="29"/>
    <col width="7.5" customWidth="1" style="225" min="30" max="30"/>
    <col width="7.62" customWidth="1" style="225" min="31" max="31"/>
  </cols>
  <sheetData>
    <row r="1" ht="105" customFormat="1" customHeight="1" s="215">
      <c r="A1" s="216" t="inlineStr">
        <is>
          <t>Ano</t>
        </is>
      </c>
      <c r="B1" s="216" t="inlineStr">
        <is>
          <t>Numero</t>
        </is>
      </c>
      <c r="C1" s="215" t="inlineStr">
        <is>
          <t>Artigo</t>
        </is>
      </c>
      <c r="D1" s="215" t="inlineStr">
        <is>
          <t>Fórum</t>
        </is>
      </c>
      <c r="E1" s="215" t="inlineStr">
        <is>
          <t>Discente</t>
        </is>
      </c>
      <c r="F1" s="226" t="inlineStr">
        <is>
          <t>Qualis</t>
        </is>
      </c>
      <c r="G1" s="226" t="inlineStr">
        <is>
          <t>Área</t>
        </is>
      </c>
      <c r="H1" s="226" t="inlineStr">
        <is>
          <t>Restrito</t>
        </is>
      </c>
      <c r="I1" s="219" t="inlineStr">
        <is>
          <t>Discente Programa</t>
        </is>
      </c>
      <c r="J1" s="216" t="n"/>
      <c r="K1" s="227" t="inlineStr">
        <is>
          <t>DIEGO BARRETO HADDAD</t>
        </is>
      </c>
      <c r="L1" s="227" t="inlineStr">
        <is>
          <t>DIEGO NUNES BRANDAO</t>
        </is>
      </c>
      <c r="M1" s="227" t="inlineStr">
        <is>
          <t>DIOGO SILVEIRA MENDONCA</t>
        </is>
      </c>
      <c r="N1" s="227" t="inlineStr">
        <is>
          <t>DOUGLAS DE OLIVEIRA CARDOSO</t>
        </is>
      </c>
      <c r="O1" s="227" t="inlineStr">
        <is>
          <t>EDUARDO BEZERRA DA SILVA</t>
        </is>
      </c>
      <c r="P1" s="227" t="inlineStr">
        <is>
          <t>EDUARDO SOARES OGASAWARA</t>
        </is>
      </c>
      <c r="Q1" s="227" t="inlineStr">
        <is>
          <t>FELIPE DA ROCHA HENRIQUES</t>
        </is>
      </c>
      <c r="R1" s="227" t="inlineStr">
        <is>
          <t>GLAUCO FIOROTT AMORIM</t>
        </is>
      </c>
      <c r="S1" s="227" t="inlineStr">
        <is>
          <t>GUSTAVO PAIVA GUEDES E SILVA</t>
        </is>
      </c>
      <c r="T1" s="227" t="inlineStr">
        <is>
          <t>JOAO ROBERTO DE TOLEDO QUADROS</t>
        </is>
      </c>
      <c r="U1" s="227" t="inlineStr">
        <is>
          <t>JOEL ANDRE FERREIRA DOS SANTOS</t>
        </is>
      </c>
      <c r="V1" s="227" t="inlineStr">
        <is>
          <t>JORGE DE ABREU SOARES</t>
        </is>
      </c>
      <c r="W1" s="227" t="inlineStr">
        <is>
          <t>KELE TEIXEIRA BELLOZE</t>
        </is>
      </c>
      <c r="X1" s="227" t="inlineStr">
        <is>
          <t>LAURA SILVA DE ASSIS</t>
        </is>
      </c>
      <c r="Y1" s="227" t="inlineStr">
        <is>
          <t>PEDRO HENRIQUE GONZALEZ SILVA</t>
        </is>
      </c>
      <c r="Z1" s="227" t="inlineStr">
        <is>
          <t>RAFAELLI DE CARVALHO COUTINHO</t>
        </is>
      </c>
      <c r="AA1" s="216" t="n"/>
      <c r="AB1" s="219" t="inlineStr">
        <is>
          <t>Qualis</t>
        </is>
      </c>
      <c r="AC1" s="220" t="inlineStr">
        <is>
          <t>Docentes</t>
        </is>
      </c>
      <c r="AD1" s="219" t="inlineStr">
        <is>
          <t>Fator</t>
        </is>
      </c>
      <c r="AE1" s="219" t="inlineStr">
        <is>
          <t>Credenciamento</t>
        </is>
      </c>
    </row>
    <row r="2" ht="16.5" customHeight="1" s="144">
      <c r="A2" s="143" t="inlineStr">
        <is>
          <t>2018</t>
        </is>
      </c>
      <c r="B2" s="143" t="n">
        <v>1</v>
      </c>
      <c r="C2" s="143" t="inlineStr">
        <is>
          <t>On the resilience of canonical reducible permutation graphs</t>
        </is>
      </c>
      <c r="D2" s="228" t="inlineStr">
        <is>
          <t>DISCRETE APPLIED MATHEMATICS.</t>
        </is>
      </c>
      <c r="E2" s="143" t="n"/>
      <c r="F2" s="143">
        <f>VLOOKUP(D2,LPeriodicos!A:B,2,FALSE())</f>
        <v/>
      </c>
      <c r="G2" s="143">
        <f>VLOOKUP(D2,LPeriodicos!A:C,3,FALSE())</f>
        <v/>
      </c>
      <c r="H2" s="143">
        <f>VLOOKUP(D2,LPeriodicos!A:D,4,FALSE())</f>
        <v/>
      </c>
      <c r="I2" s="143">
        <f>IF(E2&lt;&gt;"",1,0)</f>
        <v/>
      </c>
      <c r="J2" s="143" t="n"/>
      <c r="K2" s="143" t="n"/>
      <c r="L2" s="143" t="n"/>
      <c r="M2" s="143" t="n"/>
      <c r="N2" s="143" t="n"/>
      <c r="O2" s="143" t="n"/>
      <c r="P2" s="143" t="n"/>
      <c r="Q2" s="143" t="n"/>
      <c r="R2" s="143" t="n"/>
      <c r="S2" s="143" t="n"/>
      <c r="T2" s="143" t="n"/>
      <c r="U2" s="143" t="n"/>
      <c r="V2" s="143" t="n"/>
      <c r="W2" s="143" t="n"/>
      <c r="X2" s="143" t="n"/>
      <c r="Y2" s="143" t="n"/>
      <c r="Z2" s="143" t="n"/>
      <c r="AA2" s="143" t="n"/>
      <c r="AB2" s="143">
        <f>VLOOKUP(F2,Tabelas!A:C,2,FALSE())</f>
        <v/>
      </c>
      <c r="AC2" s="143">
        <f>SUM(K2:Z2)</f>
        <v/>
      </c>
      <c r="AD2" s="143">
        <f>IF(AC2&lt;=2,1,1-LOG(AC2-1))</f>
        <v/>
      </c>
      <c r="AE2" s="143">
        <f>VLOOKUP(D2,LPeriodicos!A:E,5,FALSE())*IF(I2&gt;0,1.1,1)*AD2</f>
        <v/>
      </c>
    </row>
    <row r="3" ht="16.5" customHeight="1" s="144">
      <c r="A3" s="150" t="inlineStr">
        <is>
          <t>2018</t>
        </is>
      </c>
      <c r="B3" s="150" t="n">
        <v>2</v>
      </c>
      <c r="C3" s="175" t="inlineStr">
        <is>
          <t>Using SPQR-trees to speed up recognition algorithms based on 2-cutsets</t>
        </is>
      </c>
      <c r="D3" s="228" t="inlineStr">
        <is>
          <t>DISCRETE APPLIED MATHEMATICS.</t>
        </is>
      </c>
      <c r="F3" s="224">
        <f>VLOOKUP(D3,LPeriodicos!A:B,2,FALSE())</f>
        <v/>
      </c>
      <c r="G3" s="224">
        <f>VLOOKUP(D3,LPeriodicos!A:C,3,FALSE())</f>
        <v/>
      </c>
      <c r="H3" s="224">
        <f>VLOOKUP(D3,LPeriodicos!A:D,4,FALSE())</f>
        <v/>
      </c>
      <c r="I3" s="224">
        <f>IF(E3&lt;&gt;"",1,0)</f>
        <v/>
      </c>
      <c r="AB3" s="225">
        <f>VLOOKUP(F3,Tabelas!A:C,2,FALSE())</f>
        <v/>
      </c>
      <c r="AC3" s="224">
        <f>SUM(K3:Z3)</f>
        <v/>
      </c>
      <c r="AD3" s="225">
        <f>IF(AC3&lt;=2,1,1-LOG(AC3-1))</f>
        <v/>
      </c>
      <c r="AE3" s="225">
        <f>VLOOKUP(D3,LPeriodicos!A:E,5,FALSE())*IF(I3&gt;0,1.1,1)*AD3</f>
        <v/>
      </c>
    </row>
    <row r="4" ht="16.5" customHeight="1" s="144">
      <c r="A4" s="150" t="inlineStr">
        <is>
          <t>2018</t>
        </is>
      </c>
      <c r="B4" s="150" t="n">
        <v>3</v>
      </c>
      <c r="C4" s="175" t="inlineStr">
        <is>
          <t>A controller design for mitigation of passive system identification attacks in networked control systems</t>
        </is>
      </c>
      <c r="D4" s="228" t="inlineStr">
        <is>
          <t>JOURNAL OF INTERNET SERVICES AND APPLICATIONS.</t>
        </is>
      </c>
      <c r="F4" s="224">
        <f>VLOOKUP(D4,LPeriodicos!A:B,2,FALSE())</f>
        <v/>
      </c>
      <c r="G4" s="224">
        <f>VLOOKUP(D4,LPeriodicos!A:C,3,FALSE())</f>
        <v/>
      </c>
      <c r="H4" s="224">
        <f>VLOOKUP(D4,LPeriodicos!A:D,4,FALSE())</f>
        <v/>
      </c>
      <c r="I4" s="224">
        <f>IF(E4&lt;&gt;"",1,0)</f>
        <v/>
      </c>
      <c r="AB4" s="225">
        <f>VLOOKUP(F4,Tabelas!A:C,2,FALSE())</f>
        <v/>
      </c>
      <c r="AC4" s="224">
        <f>SUM(K4:Z4)</f>
        <v/>
      </c>
      <c r="AD4" s="225">
        <f>IF(AC4&lt;=2,1,1-LOG(AC4-1))</f>
        <v/>
      </c>
      <c r="AE4" s="225">
        <f>VLOOKUP(D4,LPeriodicos!A:E,5,FALSE())*IF(I4&gt;0,1.1,1)*AD4</f>
        <v/>
      </c>
    </row>
    <row r="5" ht="16.5" customHeight="1" s="144">
      <c r="A5" s="150" t="inlineStr">
        <is>
          <t>2018</t>
        </is>
      </c>
      <c r="B5" s="150" t="n">
        <v>4</v>
      </c>
      <c r="C5" s="175" t="inlineStr">
        <is>
          <t>A Hybrid Approach for Spatio-temporal Validation of Declarative Multimedia Documents</t>
        </is>
      </c>
      <c r="D5" s="228" t="inlineStr">
        <is>
          <t>ACM Transactions on Multimedia Computing Communications and Applications.</t>
        </is>
      </c>
      <c r="F5" s="224">
        <f>VLOOKUP(D5,LPeriodicos!A:B,2,FALSE())</f>
        <v/>
      </c>
      <c r="G5" s="224">
        <f>VLOOKUP(D5,LPeriodicos!A:C,3,FALSE())</f>
        <v/>
      </c>
      <c r="H5" s="224">
        <f>VLOOKUP(D5,LPeriodicos!A:D,4,FALSE())</f>
        <v/>
      </c>
      <c r="I5" s="224">
        <f>IF(E5&lt;&gt;"",1,0)</f>
        <v/>
      </c>
      <c r="U5" s="148" t="n">
        <v>1</v>
      </c>
      <c r="AB5" s="225">
        <f>VLOOKUP(F5,Tabelas!A:C,2,FALSE())</f>
        <v/>
      </c>
      <c r="AC5" s="224">
        <f>SUM(K5:Z5)</f>
        <v/>
      </c>
      <c r="AD5" s="225">
        <f>IF(AC5&lt;=2,1,1-LOG(AC5-1))</f>
        <v/>
      </c>
      <c r="AE5" s="225">
        <f>VLOOKUP(D5,LPeriodicos!A:E,5,FALSE())*IF(I5&gt;0,1.1,1)*AD5</f>
        <v/>
      </c>
    </row>
    <row r="6" ht="15.75" customHeight="1" s="144">
      <c r="A6" s="150" t="inlineStr">
        <is>
          <t>2018</t>
        </is>
      </c>
      <c r="B6" s="150" t="n">
        <v>5</v>
      </c>
      <c r="C6" s="175" t="inlineStr">
        <is>
          <t>Exact analysis of the least-mean-square algorithm with coloured measurement noise</t>
        </is>
      </c>
      <c r="D6" s="228" t="inlineStr">
        <is>
          <t>ELECTRONICS LETTERS.</t>
        </is>
      </c>
      <c r="F6" s="224">
        <f>VLOOKUP(D6,LPeriodicos!A:B,2,FALSE())</f>
        <v/>
      </c>
      <c r="G6" s="224">
        <f>VLOOKUP(D6,LPeriodicos!A:C,3,FALSE())</f>
        <v/>
      </c>
      <c r="H6" s="224">
        <f>VLOOKUP(D6,LPeriodicos!A:D,4,FALSE())</f>
        <v/>
      </c>
      <c r="I6" s="224">
        <f>IF(E6&lt;&gt;"",1,0)</f>
        <v/>
      </c>
      <c r="AB6" s="225">
        <f>VLOOKUP(F6,Tabelas!A:C,2,FALSE())</f>
        <v/>
      </c>
      <c r="AC6" s="224">
        <f>SUM(K6:Z6)</f>
        <v/>
      </c>
      <c r="AD6" s="225">
        <f>IF(AC6&lt;=2,1,1-LOG(AC6-1))</f>
        <v/>
      </c>
      <c r="AE6" s="225">
        <f>VLOOKUP(D6,LPeriodicos!A:E,5,FALSE())*IF(I6&gt;0,1.1,1)*AD6</f>
        <v/>
      </c>
    </row>
    <row r="7" ht="15.75" customHeight="1" s="144">
      <c r="A7" s="150" t="inlineStr">
        <is>
          <t>2018</t>
        </is>
      </c>
      <c r="B7" s="150" t="n">
        <v>6</v>
      </c>
      <c r="C7" s="175" t="inlineStr">
        <is>
          <t>Using Physical Context-Based Authentication against External Attacks: Models and Protocols</t>
        </is>
      </c>
      <c r="D7" s="228" t="inlineStr">
        <is>
          <t>Security and Communication Networks.</t>
        </is>
      </c>
      <c r="F7" s="224">
        <f>VLOOKUP(D7,LPeriodicos!A:B,2,FALSE())</f>
        <v/>
      </c>
      <c r="G7" s="224">
        <f>VLOOKUP(D7,LPeriodicos!A:C,3,FALSE())</f>
        <v/>
      </c>
      <c r="H7" s="224">
        <f>VLOOKUP(D7,LPeriodicos!A:D,4,FALSE())</f>
        <v/>
      </c>
      <c r="I7" s="224">
        <f>IF(E7&lt;&gt;"",1,0)</f>
        <v/>
      </c>
      <c r="AB7" s="225">
        <f>VLOOKUP(F7,Tabelas!A:C,2,FALSE())</f>
        <v/>
      </c>
      <c r="AC7" s="224">
        <f>SUM(K7:Z7)</f>
        <v/>
      </c>
      <c r="AD7" s="225">
        <f>IF(AC7&lt;=2,1,1-LOG(AC7-1))</f>
        <v/>
      </c>
      <c r="AE7" s="225">
        <f>VLOOKUP(D7,LPeriodicos!A:E,5,FALSE())*IF(I7&gt;0,1.1,1)*AD7</f>
        <v/>
      </c>
    </row>
    <row r="8" ht="16.5" customHeight="1" s="144">
      <c r="A8" s="150" t="inlineStr">
        <is>
          <t>2018</t>
        </is>
      </c>
      <c r="B8" s="150" t="n">
        <v>7</v>
      </c>
      <c r="C8" s="175" t="inlineStr">
        <is>
          <t>Nonstationary time series transformation methods: An experimental review</t>
        </is>
      </c>
      <c r="D8" s="228" t="inlineStr">
        <is>
          <t>KNOWLEDGE-BASED SYSTEMS.</t>
        </is>
      </c>
      <c r="F8" s="224">
        <f>VLOOKUP(D8,LPeriodicos!A:B,2,FALSE())</f>
        <v/>
      </c>
      <c r="G8" s="224">
        <f>VLOOKUP(D8,LPeriodicos!A:C,3,FALSE())</f>
        <v/>
      </c>
      <c r="H8" s="224">
        <f>VLOOKUP(D8,LPeriodicos!A:D,4,FALSE())</f>
        <v/>
      </c>
      <c r="I8" s="224">
        <f>IF(E8&lt;&gt;"",1,0)</f>
        <v/>
      </c>
      <c r="W8" s="148" t="n">
        <v>1</v>
      </c>
      <c r="Y8" s="148" t="n">
        <v>1</v>
      </c>
      <c r="AB8" s="225">
        <f>VLOOKUP(F8,Tabelas!A:C,2,FALSE())</f>
        <v/>
      </c>
      <c r="AC8" s="224">
        <f>SUM(K8:Z8)</f>
        <v/>
      </c>
      <c r="AD8" s="225">
        <f>IF(AC8&lt;=2,1,1-LOG(AC8-1))</f>
        <v/>
      </c>
      <c r="AE8" s="225">
        <f>VLOOKUP(D8,LPeriodicos!A:E,5,FALSE())*IF(I8&gt;0,1.1,1)*AD8</f>
        <v/>
      </c>
    </row>
    <row r="9" ht="16.5" customHeight="1" s="144">
      <c r="A9" s="150" t="inlineStr">
        <is>
          <t>2018</t>
        </is>
      </c>
      <c r="B9" s="150" t="n">
        <v>8</v>
      </c>
      <c r="C9" s="175" t="inlineStr">
        <is>
          <t>Data Mart Construction based on Semantic Annotation of Scientific Articles: A Case Study for the Prioritization of Drug Targets</t>
        </is>
      </c>
      <c r="D9" s="175" t="inlineStr">
        <is>
          <t>COMPUTER METHODS AND PROGRAMS IN BIOMEDICINE.</t>
        </is>
      </c>
      <c r="F9" s="224">
        <f>VLOOKUP(D9,LPeriodicos!A:B,2,FALSE())</f>
        <v/>
      </c>
      <c r="G9" s="224">
        <f>VLOOKUP(D9,LPeriodicos!A:C,3,FALSE())</f>
        <v/>
      </c>
      <c r="H9" s="224">
        <f>VLOOKUP(D9,LPeriodicos!A:D,4,FALSE())</f>
        <v/>
      </c>
      <c r="I9" s="224">
        <f>IF(E9&lt;&gt;"",1,0)</f>
        <v/>
      </c>
      <c r="W9" s="148" t="n">
        <v>1</v>
      </c>
      <c r="AB9" s="225">
        <f>VLOOKUP(F9,Tabelas!A:C,2,FALSE())</f>
        <v/>
      </c>
      <c r="AC9" s="224">
        <f>SUM(K9:Z9)</f>
        <v/>
      </c>
      <c r="AD9" s="225">
        <f>IF(AC9&lt;=2,1,1-LOG(AC9-1))</f>
        <v/>
      </c>
      <c r="AE9" s="225">
        <f>VLOOKUP(D9,LPeriodicos!A:E,5,FALSE())*IF(I9&gt;0,1.1,1)*AD9</f>
        <v/>
      </c>
    </row>
    <row r="10" ht="15.75" customHeight="1" s="144">
      <c r="AC10" s="224" t="n"/>
    </row>
    <row r="11" ht="16.5" customHeight="1" s="144">
      <c r="AC11" s="224" t="n"/>
    </row>
    <row r="12" ht="16.5" customHeight="1" s="144">
      <c r="AC12" s="224" t="n"/>
    </row>
    <row r="13" ht="16.5" customHeight="1" s="144">
      <c r="AC13" s="224" t="n"/>
    </row>
    <row r="14" ht="16.5" customHeight="1" s="144">
      <c r="AC14" s="224" t="n"/>
    </row>
    <row r="15" ht="15.75" customHeight="1" s="144">
      <c r="AC15" s="224" t="n"/>
    </row>
    <row r="16" ht="16.5" customHeight="1" s="144">
      <c r="AC16" s="224" t="n"/>
    </row>
    <row r="17" ht="16.5" customHeight="1" s="144">
      <c r="AC17" s="224" t="n"/>
    </row>
    <row r="18" ht="16.5" customHeight="1" s="144">
      <c r="AC18" s="224" t="n"/>
    </row>
    <row r="19" ht="16.5" customHeight="1" s="144">
      <c r="AC19" s="224" t="n"/>
    </row>
    <row r="20" ht="15.75" customHeight="1" s="144">
      <c r="AC20" s="224" t="n"/>
    </row>
    <row r="21" ht="16.5" customHeight="1" s="144">
      <c r="AC21" s="224" t="n"/>
    </row>
    <row r="22" ht="16.5" customHeight="1" s="144">
      <c r="AC22" s="224" t="n"/>
    </row>
    <row r="23" ht="16.5" customHeight="1" s="144">
      <c r="AC23" s="224" t="n"/>
    </row>
    <row r="24" ht="15.75" customHeight="1" s="144">
      <c r="AC24" s="224" t="n"/>
    </row>
    <row r="25" ht="15.75" customHeight="1" s="144">
      <c r="AC25" s="224" t="n"/>
    </row>
    <row r="26" ht="16.5" customHeight="1" s="144">
      <c r="AC26" s="224" t="n"/>
    </row>
    <row r="27" ht="15.75" customHeight="1" s="144">
      <c r="AC27" s="224" t="n"/>
    </row>
    <row r="28" ht="16.5" customHeight="1" s="144">
      <c r="AC28" s="224" t="n"/>
    </row>
    <row r="29" ht="15.75" customHeight="1" s="144"/>
    <row r="30" ht="15.75" customHeight="1" s="144"/>
    <row r="31" ht="16.5" customHeight="1" s="144"/>
    <row r="32" ht="15.75" customHeight="1" s="144">
      <c r="AC32" s="224" t="n"/>
    </row>
    <row r="33" ht="16.5" customHeight="1" s="144">
      <c r="AC33" s="224" t="n"/>
    </row>
    <row r="34" ht="15.75" customHeight="1" s="144">
      <c r="AC34" s="224" t="n"/>
    </row>
    <row r="35" ht="16.5" customHeight="1" s="144">
      <c r="AC35" s="224" t="n"/>
    </row>
    <row r="36" ht="15.75" customHeight="1" s="144">
      <c r="AC36" s="224" t="n"/>
    </row>
    <row r="37" ht="15.75" customHeight="1" s="144">
      <c r="AC37" s="224" t="n"/>
    </row>
    <row r="38" ht="15.75" customHeight="1" s="144">
      <c r="AC38" s="224" t="n"/>
    </row>
    <row r="39" ht="15.75" customHeight="1" s="144">
      <c r="AC39" s="224" t="n"/>
    </row>
  </sheetData>
  <autoFilter ref="A1:AE39">
    <sortState ref="A2:AE39">
      <sortCondition ref="A2:A39" customList=""/>
    </sortState>
  </autoFilter>
  <conditionalFormatting sqref="AB46:AE46">
    <cfRule type="cellIs" rank="0" priority="2" equalAverage="0" operator="equal" aboveAverage="0" dxfId="6" text="" percent="0" bottom="0">
      <formula>0</formula>
    </cfRule>
  </conditionalFormatting>
  <conditionalFormatting sqref="AB45:AE45">
    <cfRule type="cellIs" rank="0" priority="3" equalAverage="0" operator="equal" aboveAverage="0" dxfId="6" text="" percent="0" bottom="0">
      <formula>0</formula>
    </cfRule>
  </conditionalFormatting>
  <conditionalFormatting sqref="AB44:AE44">
    <cfRule type="cellIs" rank="0" priority="4" equalAverage="0" operator="equal" aboveAverage="0" dxfId="6" text="" percent="0" bottom="0">
      <formula>0</formula>
    </cfRule>
  </conditionalFormatting>
  <conditionalFormatting sqref="AB43:AE43">
    <cfRule type="cellIs" rank="0" priority="5" equalAverage="0" operator="equal" aboveAverage="0" dxfId="6" text="" percent="0" bottom="0">
      <formula>0</formula>
    </cfRule>
  </conditionalFormatting>
  <conditionalFormatting sqref="AB42:AE42">
    <cfRule type="cellIs" rank="0" priority="6" equalAverage="0" operator="equal" aboveAverage="0" dxfId="6" text="" percent="0" bottom="0">
      <formula>0</formula>
    </cfRule>
  </conditionalFormatting>
  <conditionalFormatting sqref="AB41:AE41">
    <cfRule type="cellIs" rank="0" priority="7" equalAverage="0" operator="equal" aboveAverage="0" dxfId="6" text="" percent="0" bottom="0">
      <formula>0</formula>
    </cfRule>
  </conditionalFormatting>
  <conditionalFormatting sqref="AB40:AE40">
    <cfRule type="cellIs" rank="0" priority="8" equalAverage="0" operator="equal" aboveAverage="0" dxfId="6" text="" percent="0" bottom="0">
      <formula>0</formula>
    </cfRule>
  </conditionalFormatting>
  <conditionalFormatting sqref="AB31:AE31">
    <cfRule type="cellIs" rank="0" priority="9" equalAverage="0" operator="equal" aboveAverage="0" dxfId="6" text="" percent="0" bottom="0">
      <formula>0</formula>
    </cfRule>
  </conditionalFormatting>
  <conditionalFormatting sqref="AB30:AE30">
    <cfRule type="cellIs" rank="0" priority="10" equalAverage="0" operator="equal" aboveAverage="0" dxfId="6" text="" percent="0" bottom="0">
      <formula>0</formula>
    </cfRule>
  </conditionalFormatting>
  <conditionalFormatting sqref="AB29:AE29">
    <cfRule type="cellIs" rank="0" priority="11" equalAverage="0" operator="equal" aboveAverage="0" dxfId="6" text="" percent="0" bottom="0">
      <formula>0</formula>
    </cfRule>
  </conditionalFormatting>
  <conditionalFormatting sqref="AB2:AE28 AB32:AE39">
    <cfRule type="cellIs" rank="0" priority="12" equalAverage="0" operator="equal" aboveAverage="0" dxfId="6" text="" percent="0" bottom="0">
      <formula>0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Y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R4" activeCellId="0" sqref="R4"/>
    </sheetView>
  </sheetViews>
  <sheetFormatPr baseColWidth="8" defaultColWidth="11.00390625" defaultRowHeight="15.75" zeroHeight="0" outlineLevelRow="0"/>
  <cols>
    <col width="5.12" customWidth="1" style="175" min="1" max="1"/>
    <col width="4.5" customWidth="1" style="175" min="2" max="2"/>
    <col width="69.38" customWidth="1" style="175" min="3" max="3"/>
    <col width="50.62" customWidth="1" style="175" min="4" max="4"/>
    <col width="40.12" customWidth="1" style="175" min="5" max="5"/>
    <col width="4.62" customWidth="1" style="175" min="6" max="6"/>
    <col width="1.88" customWidth="1" style="175" min="7" max="7"/>
    <col width="4.62" customWidth="1" style="175" min="8" max="23"/>
    <col width="1.88" customWidth="1" style="175" min="24" max="24"/>
    <col width="3.12" customWidth="1" style="229" min="25" max="25"/>
  </cols>
  <sheetData>
    <row r="1" ht="126.75" customFormat="1" customHeight="1" s="215">
      <c r="A1" s="216" t="inlineStr">
        <is>
          <t>Ano</t>
        </is>
      </c>
      <c r="B1" s="216" t="inlineStr">
        <is>
          <t>Numero</t>
        </is>
      </c>
      <c r="C1" s="215" t="inlineStr">
        <is>
          <t>Produto</t>
        </is>
      </c>
      <c r="D1" s="215" t="inlineStr">
        <is>
          <t>Tipo</t>
        </is>
      </c>
      <c r="E1" s="215" t="inlineStr">
        <is>
          <t>Discente</t>
        </is>
      </c>
      <c r="F1" s="230" t="inlineStr">
        <is>
          <t>Discente Programa</t>
        </is>
      </c>
      <c r="G1" s="216" t="n"/>
      <c r="H1" s="231">
        <f>Geral!B1</f>
        <v/>
      </c>
      <c r="I1" s="231">
        <f>Geral!C1</f>
        <v/>
      </c>
      <c r="J1" s="231" t="inlineStr">
        <is>
          <t>Diogo Mendonça</t>
        </is>
      </c>
      <c r="K1" s="231">
        <f>Geral!E1</f>
        <v/>
      </c>
      <c r="L1" s="231">
        <f>Geral!F1</f>
        <v/>
      </c>
      <c r="M1" s="231">
        <f>Geral!G1</f>
        <v/>
      </c>
      <c r="N1" s="231">
        <f>Geral!H1</f>
        <v/>
      </c>
      <c r="O1" s="231">
        <f>Geral!I1</f>
        <v/>
      </c>
      <c r="P1" s="231">
        <f>Geral!J1</f>
        <v/>
      </c>
      <c r="Q1" s="231">
        <f>Geral!K1</f>
        <v/>
      </c>
      <c r="R1" s="231">
        <f>Geral!L1</f>
        <v/>
      </c>
      <c r="S1" s="231">
        <f>Geral!M1</f>
        <v/>
      </c>
      <c r="T1" s="231">
        <f>Geral!N1</f>
        <v/>
      </c>
      <c r="U1" s="231">
        <f>Geral!O1</f>
        <v/>
      </c>
      <c r="V1" s="231">
        <f>Geral!P1</f>
        <v/>
      </c>
      <c r="W1" s="231">
        <f>Geral!Q1</f>
        <v/>
      </c>
      <c r="X1" s="216" t="n"/>
      <c r="Y1" s="232" t="inlineStr">
        <is>
          <t>Docentes</t>
        </is>
      </c>
    </row>
    <row r="2" ht="15.75" customHeight="1" s="144">
      <c r="A2" s="143" t="n">
        <v>2021</v>
      </c>
      <c r="B2" s="150" t="n">
        <v>1</v>
      </c>
      <c r="C2" s="143" t="inlineStr">
        <is>
          <t>BIOLAND</t>
        </is>
      </c>
      <c r="D2" s="143" t="inlineStr">
        <is>
          <t>Software/Aplicativo (Programa de computador)</t>
        </is>
      </c>
      <c r="E2" s="143" t="inlineStr">
        <is>
          <t>ANDERSON LUIZ BERNARDES DA ROCHA</t>
        </is>
      </c>
      <c r="F2" s="148">
        <f>IF(E2&lt;&gt;"",1,0)</f>
        <v/>
      </c>
      <c r="G2" s="149" t="n"/>
      <c r="H2" s="149" t="n"/>
      <c r="I2" s="149" t="n"/>
      <c r="J2" s="149" t="n"/>
      <c r="K2" s="149" t="n"/>
      <c r="L2" s="149" t="n"/>
      <c r="M2" s="149" t="n"/>
      <c r="N2" s="149" t="n"/>
      <c r="O2" s="149" t="n"/>
      <c r="P2" s="149" t="n"/>
      <c r="Q2" s="149" t="n"/>
      <c r="R2" s="149" t="n">
        <v>1</v>
      </c>
      <c r="S2" s="149" t="n"/>
      <c r="T2" s="149" t="n"/>
      <c r="U2" s="149" t="n"/>
      <c r="V2" s="149" t="n"/>
      <c r="W2" s="149" t="n"/>
      <c r="X2" s="143" t="n"/>
      <c r="Y2" s="166">
        <f>SUM(H2:W2)</f>
        <v/>
      </c>
    </row>
    <row r="3" ht="15.75" customHeight="1" s="144">
      <c r="A3" s="175" t="n">
        <v>2021</v>
      </c>
      <c r="B3" s="150" t="n">
        <v>2</v>
      </c>
      <c r="C3" s="175" t="inlineStr">
        <is>
          <t>ECOLAB</t>
        </is>
      </c>
      <c r="D3" s="175" t="inlineStr">
        <is>
          <t>Software/Aplicativo (Programa de computador)</t>
        </is>
      </c>
      <c r="E3" s="175" t="inlineStr">
        <is>
          <t>LUIS HENRIQUE DOS REIS LACERDA NOGUEIRA</t>
        </is>
      </c>
      <c r="F3" s="148">
        <f>IF(E3&lt;&gt;"",1,0)</f>
        <v/>
      </c>
      <c r="G3" s="148" t="n"/>
      <c r="H3" s="148" t="n"/>
      <c r="I3" s="148" t="n"/>
      <c r="J3" s="148" t="n"/>
      <c r="K3" s="148" t="n"/>
      <c r="L3" s="148" t="n"/>
      <c r="M3" s="148" t="n"/>
      <c r="N3" s="148" t="n"/>
      <c r="O3" s="148" t="n"/>
      <c r="P3" s="148" t="n"/>
      <c r="Q3" s="148" t="n"/>
      <c r="R3" s="148" t="n">
        <v>1</v>
      </c>
      <c r="S3" s="148" t="n"/>
      <c r="T3" s="148" t="n"/>
      <c r="U3" s="148" t="n"/>
      <c r="V3" s="148" t="n"/>
      <c r="W3" s="148" t="n"/>
      <c r="Y3" s="229">
        <f>SUM(H3:W3)</f>
        <v/>
      </c>
    </row>
    <row r="4" ht="15.75" customHeight="1" s="144">
      <c r="A4" s="175" t="n">
        <v>2021</v>
      </c>
      <c r="B4" s="150" t="n">
        <v>3</v>
      </c>
      <c r="C4" s="175" t="inlineStr">
        <is>
          <t>GSTSM: GENERALIZED SPATIAL-TIME SEQUENCE MINER</t>
        </is>
      </c>
      <c r="D4" s="175" t="inlineStr">
        <is>
          <t>Software/Aplicativo (Programa de computador)</t>
        </is>
      </c>
      <c r="E4" s="175" t="inlineStr">
        <is>
          <t>ANTONIO JOSE DE CASTRO FILHO</t>
        </is>
      </c>
      <c r="F4" s="148">
        <f>IF(E4&lt;&gt;"",1,0)</f>
        <v/>
      </c>
      <c r="G4" s="148" t="n"/>
      <c r="H4" s="148" t="n"/>
      <c r="I4" s="148" t="n"/>
      <c r="J4" s="148" t="n"/>
      <c r="K4" s="148" t="n"/>
      <c r="L4" s="148" t="n"/>
      <c r="M4" s="148" t="n">
        <v>1</v>
      </c>
      <c r="N4" s="148" t="n"/>
      <c r="O4" s="148" t="n"/>
      <c r="P4" s="148" t="n"/>
      <c r="Q4" s="148" t="n"/>
      <c r="R4" s="148" t="n"/>
      <c r="S4" s="148" t="n"/>
      <c r="T4" s="148" t="n"/>
      <c r="U4" s="148" t="n"/>
      <c r="V4" s="148" t="n"/>
      <c r="W4" s="148" t="n">
        <v>1</v>
      </c>
      <c r="Y4" s="229">
        <f>SUM(H4:W4)</f>
        <v/>
      </c>
    </row>
    <row r="5" ht="15.75" customHeight="1" s="144">
      <c r="A5" s="175" t="n">
        <v>2021</v>
      </c>
      <c r="B5" s="150" t="n">
        <v>4</v>
      </c>
      <c r="C5" s="175" t="inlineStr">
        <is>
          <t>IV ESCOLA REGIONAL DE INFORMÁTICA DO RIO DE JANEIRO (ERI/RJ)</t>
        </is>
      </c>
      <c r="D5" s="233" t="inlineStr">
        <is>
          <t>Evento organizado</t>
        </is>
      </c>
      <c r="F5" s="148">
        <f>IF(E5&lt;&gt;"",1,0)</f>
        <v/>
      </c>
      <c r="G5" s="148" t="n"/>
      <c r="H5" s="148" t="n"/>
      <c r="I5" s="148" t="n">
        <v>1</v>
      </c>
      <c r="J5" s="148" t="n"/>
      <c r="K5" s="148" t="n"/>
      <c r="L5" s="148" t="n"/>
      <c r="M5" s="148" t="n"/>
      <c r="N5" s="148" t="n"/>
      <c r="O5" s="148" t="n"/>
      <c r="P5" s="148" t="n"/>
      <c r="Q5" s="148" t="n"/>
      <c r="R5" s="148" t="n"/>
      <c r="S5" s="148" t="n"/>
      <c r="T5" s="148" t="n"/>
      <c r="U5" s="148" t="n"/>
      <c r="V5" s="148" t="n"/>
      <c r="W5" s="148" t="n">
        <v>1</v>
      </c>
      <c r="Y5" s="229">
        <f>SUM(H5:W5)</f>
        <v/>
      </c>
    </row>
    <row r="6" ht="15.75" customHeight="1" s="144">
      <c r="A6" s="175" t="n">
        <v>2021</v>
      </c>
      <c r="B6" s="150" t="n">
        <v>5</v>
      </c>
      <c r="C6" s="175" t="inlineStr">
        <is>
          <t>IX SYMPOSIUM ON KNOWLEDGE DISCOVERY, MINING AND LEARNING</t>
        </is>
      </c>
      <c r="D6" s="233" t="inlineStr">
        <is>
          <t>Evento organizado</t>
        </is>
      </c>
      <c r="E6" s="229" t="n"/>
      <c r="F6" s="148">
        <f>IF(E6&lt;&gt;"",1,0)</f>
        <v/>
      </c>
      <c r="G6" s="148" t="n"/>
      <c r="H6" s="148" t="n"/>
      <c r="I6" s="148" t="n"/>
      <c r="J6" s="148" t="n"/>
      <c r="K6" s="148" t="n"/>
      <c r="L6" s="148" t="n">
        <v>1</v>
      </c>
      <c r="M6" s="148" t="n"/>
      <c r="N6" s="148" t="n"/>
      <c r="O6" s="148" t="n"/>
      <c r="P6" s="148" t="n"/>
      <c r="Q6" s="148" t="n"/>
      <c r="R6" s="148" t="n"/>
      <c r="S6" s="148" t="n"/>
      <c r="T6" s="148" t="n"/>
      <c r="U6" s="148" t="n"/>
      <c r="V6" s="148" t="n"/>
      <c r="W6" s="148" t="n"/>
      <c r="Y6" s="229">
        <f>SUM(H6:W6)</f>
        <v/>
      </c>
    </row>
    <row r="7" ht="15.75" customHeight="1" s="144">
      <c r="A7" s="175" t="n">
        <v>2021</v>
      </c>
      <c r="B7" s="150" t="n">
        <v>6</v>
      </c>
      <c r="C7" s="175" t="inlineStr">
        <is>
          <t>VII ESCOLA REGIONAL DE ALTO DESEMPENHO DO RIO DE JANEIRO (ERAD/RJ)</t>
        </is>
      </c>
      <c r="D7" s="233" t="inlineStr">
        <is>
          <t>Evento organizado</t>
        </is>
      </c>
      <c r="E7" s="229" t="n"/>
      <c r="F7" s="148">
        <f>IF(E7&lt;&gt;"",1,0)</f>
        <v/>
      </c>
      <c r="G7" s="148" t="n"/>
      <c r="H7" s="148" t="n"/>
      <c r="I7" s="148" t="n">
        <v>1</v>
      </c>
      <c r="J7" s="148" t="n"/>
      <c r="K7" s="148" t="n"/>
      <c r="L7" s="148" t="n"/>
      <c r="M7" s="148" t="n"/>
      <c r="N7" s="148" t="n"/>
      <c r="O7" s="148" t="n"/>
      <c r="P7" s="148" t="n"/>
      <c r="Q7" s="148" t="n"/>
      <c r="R7" s="148" t="n"/>
      <c r="S7" s="148" t="n"/>
      <c r="T7" s="148" t="n"/>
      <c r="U7" s="148" t="n"/>
      <c r="V7" s="148" t="n"/>
      <c r="W7" s="148" t="n">
        <v>1</v>
      </c>
      <c r="Y7" s="229">
        <f>SUM(H7:W7)</f>
        <v/>
      </c>
    </row>
    <row r="8" ht="15.75" customHeight="1" s="144">
      <c r="A8" s="175" t="n">
        <v>2021</v>
      </c>
      <c r="B8" s="150" t="n">
        <v>7</v>
      </c>
      <c r="C8" s="175" t="inlineStr">
        <is>
          <t>XXXVI SIMPÓSIO BRASILEIRO DE BANCO DE DADOS</t>
        </is>
      </c>
      <c r="D8" s="233" t="inlineStr">
        <is>
          <t>Evento organizado</t>
        </is>
      </c>
      <c r="E8" s="229" t="n"/>
      <c r="F8" s="148">
        <f>IF(E8&lt;&gt;"",1,0)</f>
        <v/>
      </c>
      <c r="G8" s="148" t="n"/>
      <c r="H8" s="148" t="n"/>
      <c r="I8" s="148" t="n"/>
      <c r="J8" s="148" t="n"/>
      <c r="K8" s="148" t="n"/>
      <c r="L8" s="148" t="n"/>
      <c r="M8" s="148" t="n">
        <v>1</v>
      </c>
      <c r="N8" s="148" t="n"/>
      <c r="O8" s="148" t="n"/>
      <c r="P8" s="148" t="n"/>
      <c r="Q8" s="148" t="n"/>
      <c r="R8" s="148" t="n"/>
      <c r="S8" s="148" t="n"/>
      <c r="T8" s="148" t="n"/>
      <c r="U8" s="148" t="n"/>
      <c r="V8" s="148" t="n"/>
      <c r="W8" s="148" t="n">
        <v>1</v>
      </c>
      <c r="Y8" s="229">
        <f>SUM(H8:W8)</f>
        <v/>
      </c>
    </row>
    <row r="9" ht="15.75" customHeight="1" s="144">
      <c r="A9" s="175" t="n">
        <v>2021</v>
      </c>
      <c r="B9" s="150" t="n">
        <v>8</v>
      </c>
      <c r="C9" s="175" t="inlineStr">
        <is>
          <t>DATASET OF HISTORICAL RECORD OF NEONATAL MORTALITY RATES IN BRAZILIAN MUNICIPALITIES</t>
        </is>
      </c>
      <c r="D9" s="233" t="inlineStr">
        <is>
          <t>Base de dados técnico-científica</t>
        </is>
      </c>
      <c r="E9" s="175" t="inlineStr">
        <is>
          <t>REBECCA PONTES SALLES; IGOR DA SILVA MORAIS; BALTHAZAR DA SILVA CUNHA PAIXAO</t>
        </is>
      </c>
      <c r="F9" s="148">
        <f>IF(E9&lt;&gt;"",1,0)</f>
        <v/>
      </c>
      <c r="G9" s="148" t="n"/>
      <c r="H9" s="148" t="n"/>
      <c r="I9" s="148" t="n"/>
      <c r="J9" s="148" t="n"/>
      <c r="K9" s="148" t="n"/>
      <c r="L9" s="148" t="n"/>
      <c r="M9" s="148" t="n">
        <v>1</v>
      </c>
      <c r="N9" s="148" t="n"/>
      <c r="O9" s="148" t="n"/>
      <c r="P9" s="148" t="n"/>
      <c r="Q9" s="148" t="n"/>
      <c r="R9" s="148" t="n"/>
      <c r="S9" s="148" t="n"/>
      <c r="T9" s="148" t="n"/>
      <c r="U9" s="148" t="n"/>
      <c r="V9" s="148" t="n"/>
      <c r="W9" s="148" t="n"/>
      <c r="Y9" s="229">
        <f>SUM(H9:W9)</f>
        <v/>
      </c>
    </row>
  </sheetData>
  <autoFilter ref="A1:Y9"/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E63"/>
  <sheetViews>
    <sheetView showFormulas="0" showGridLines="1" showRowColHeaders="1" showZeros="1" rightToLeft="0" tabSelected="0" showOutlineSymbols="1" defaultGridColor="1" view="normal" topLeftCell="A1" colorId="64" zoomScale="140" zoomScaleNormal="140" zoomScalePageLayoutView="100" workbookViewId="0">
      <selection pane="topLeft" activeCell="A78" activeCellId="0" sqref="A78"/>
    </sheetView>
  </sheetViews>
  <sheetFormatPr baseColWidth="8" defaultColWidth="8.87890625" defaultRowHeight="15.75" zeroHeight="0" outlineLevelRow="0"/>
  <cols>
    <col width="61" customWidth="1" style="175" min="1" max="1"/>
    <col width="6.12" customWidth="1" style="175" min="2" max="2"/>
    <col width="2.88" customWidth="1" style="175" min="3" max="3"/>
    <col width="7.62" customWidth="1" style="229" min="4" max="4"/>
    <col width="7.62" customWidth="1" style="176" min="5" max="5"/>
    <col width="1.62" customWidth="1" style="175" min="6" max="6"/>
  </cols>
  <sheetData>
    <row r="1" ht="15.75" customHeight="1" s="144">
      <c r="A1" s="175" t="inlineStr">
        <is>
          <t>Conferencias</t>
        </is>
      </c>
      <c r="B1" s="175" t="inlineStr">
        <is>
          <t>Qualis</t>
        </is>
      </c>
      <c r="C1" s="175" t="inlineStr">
        <is>
          <t>CS</t>
        </is>
      </c>
      <c r="D1" s="229" t="inlineStr">
        <is>
          <t>Restrito</t>
        </is>
      </c>
      <c r="E1" s="176" t="inlineStr">
        <is>
          <t>Value</t>
        </is>
      </c>
    </row>
    <row r="2" ht="15.75" customHeight="1" s="144">
      <c r="A2" s="175" t="inlineStr">
        <is>
          <t>IJCNN - IEEE International Joint Conference on Neural Networks</t>
        </is>
      </c>
      <c r="B2" s="175" t="inlineStr">
        <is>
          <t>A2</t>
        </is>
      </c>
      <c r="C2" s="175">
        <f>IF(B2&lt;&gt;"NI",1,0)</f>
        <v/>
      </c>
      <c r="D2" s="229">
        <f>VLOOKUP(B2,Tabelas!A:C,3,FALSE())</f>
        <v/>
      </c>
      <c r="E2" s="176">
        <f>VLOOKUP(B2,Tabelas!A:C,2,FALSE())</f>
        <v/>
      </c>
    </row>
    <row r="3" ht="15.75" customHeight="1" s="144">
      <c r="A3" s="175" t="inlineStr">
        <is>
          <t>International Conference on Computational Science and Its Applications</t>
        </is>
      </c>
      <c r="B3" s="175" t="inlineStr">
        <is>
          <t>B1</t>
        </is>
      </c>
      <c r="C3" s="175">
        <f>IF(B3&lt;&gt;"NI",1,0)</f>
        <v/>
      </c>
      <c r="D3" s="229">
        <f>VLOOKUP(B3,Tabelas!A:C,3,FALSE())</f>
        <v/>
      </c>
      <c r="E3" s="176">
        <f>VLOOKUP(B3,Tabelas!A:C,2,FALSE())</f>
        <v/>
      </c>
    </row>
    <row r="4" ht="15.75" customHeight="1" s="144">
      <c r="A4" s="175" t="inlineStr">
        <is>
          <t>International Conference on Computational Science</t>
        </is>
      </c>
      <c r="B4" s="175" t="inlineStr">
        <is>
          <t>B3</t>
        </is>
      </c>
      <c r="C4" s="175">
        <f>IF(B4&lt;&gt;"NI",1,0)</f>
        <v/>
      </c>
      <c r="D4" s="229">
        <f>VLOOKUP(B4,Tabelas!A:C,3,FALSE())</f>
        <v/>
      </c>
      <c r="E4" s="176">
        <f>VLOOKUP(B4,Tabelas!A:C,2,FALSE())</f>
        <v/>
      </c>
    </row>
    <row r="5" ht="15.75" customHeight="1" s="144">
      <c r="A5" s="175" t="inlineStr">
        <is>
          <t>High Performance Computing for Computational Science ? VECPAR 2018</t>
        </is>
      </c>
      <c r="B5" s="175" t="inlineStr">
        <is>
          <t>NI</t>
        </is>
      </c>
      <c r="C5" s="175">
        <f>IF(B5&lt;&gt;"NI",1,0)</f>
        <v/>
      </c>
      <c r="D5" s="229">
        <f>VLOOKUP(B5,Tabelas!A:C,3,FALSE())</f>
        <v/>
      </c>
      <c r="E5" s="176">
        <f>VLOOKUP(B5,Tabelas!A:C,2,FALSE())</f>
        <v/>
      </c>
    </row>
    <row r="6" ht="15.75" customHeight="1" s="144">
      <c r="A6" s="175" t="inlineStr">
        <is>
          <t>International Conference on Big Data Analytics and Knowledge Discovery</t>
        </is>
      </c>
      <c r="B6" s="175" t="inlineStr">
        <is>
          <t>B2</t>
        </is>
      </c>
      <c r="C6" s="175">
        <f>IF(B6&lt;&gt;"NI",1,0)</f>
        <v/>
      </c>
      <c r="D6" s="229">
        <f>VLOOKUP(B6,Tabelas!A:C,3,FALSE())</f>
        <v/>
      </c>
      <c r="E6" s="176">
        <f>VLOOKUP(B6,Tabelas!A:C,2,FALSE())</f>
        <v/>
      </c>
    </row>
    <row r="7" ht="15.75" customHeight="1" s="144">
      <c r="A7" s="175" t="inlineStr">
        <is>
          <t>Simpósio Brasileiro de Informática na Educação</t>
        </is>
      </c>
      <c r="B7" s="175" t="inlineStr">
        <is>
          <t>B1</t>
        </is>
      </c>
      <c r="C7" s="175">
        <f>IF(B7&lt;&gt;"NI",1,0)</f>
        <v/>
      </c>
      <c r="D7" s="229">
        <f>VLOOKUP(B7,Tabelas!A:C,3,FALSE())</f>
        <v/>
      </c>
      <c r="E7" s="176">
        <f>VLOOKUP(B7,Tabelas!A:C,2,FALSE())</f>
        <v/>
      </c>
    </row>
    <row r="8" ht="15.75" customHeight="1" s="144">
      <c r="A8" s="175" t="inlineStr">
        <is>
          <t>Congreso Internacional de Informática Educativa</t>
        </is>
      </c>
      <c r="B8" s="175" t="inlineStr">
        <is>
          <t>B5</t>
        </is>
      </c>
      <c r="C8" s="175">
        <f>IF(B8&lt;&gt;"NI",1,0)</f>
        <v/>
      </c>
      <c r="D8" s="229">
        <f>VLOOKUP(B8,Tabelas!A:C,3,FALSE())</f>
        <v/>
      </c>
      <c r="E8" s="176">
        <f>VLOOKUP(B8,Tabelas!A:C,2,FALSE())</f>
        <v/>
      </c>
    </row>
    <row r="9" ht="15.75" customHeight="1" s="144">
      <c r="A9" s="175" t="inlineStr">
        <is>
          <t>Brazilian Symposium on Multimedia and the Web</t>
        </is>
      </c>
      <c r="B9" s="175" t="inlineStr">
        <is>
          <t>B1</t>
        </is>
      </c>
      <c r="C9" s="175">
        <f>IF(B9&lt;&gt;"NI",1,0)</f>
        <v/>
      </c>
      <c r="D9" s="229">
        <f>VLOOKUP(B9,Tabelas!A:C,3,FALSE())</f>
        <v/>
      </c>
      <c r="E9" s="176">
        <f>VLOOKUP(B9,Tabelas!A:C,2,FALSE())</f>
        <v/>
      </c>
    </row>
    <row r="10" ht="15.75" customHeight="1" s="144">
      <c r="A10" s="175" t="inlineStr">
        <is>
          <t>International Conference of the Chilean Computer Science Society</t>
        </is>
      </c>
      <c r="B10" s="175" t="inlineStr">
        <is>
          <t>B4</t>
        </is>
      </c>
      <c r="C10" s="175">
        <f>IF(B10&lt;&gt;"NI",1,0)</f>
        <v/>
      </c>
      <c r="D10" s="229">
        <f>VLOOKUP(B10,Tabelas!A:C,3,FALSE())</f>
        <v/>
      </c>
      <c r="E10" s="176">
        <f>VLOOKUP(B10,Tabelas!A:C,2,FALSE())</f>
        <v/>
      </c>
    </row>
    <row r="11" ht="15.75" customHeight="1" s="144">
      <c r="A11" s="175" t="inlineStr">
        <is>
          <t>CSEDU 2018 - International Conference on Computer Supported Education</t>
        </is>
      </c>
      <c r="B11" s="175" t="inlineStr">
        <is>
          <t>B1</t>
        </is>
      </c>
      <c r="C11" s="175">
        <f>IF(B11&lt;&gt;"NI",1,0)</f>
        <v/>
      </c>
      <c r="D11" s="229">
        <f>VLOOKUP(B11,Tabelas!A:C,3,FALSE())</f>
        <v/>
      </c>
      <c r="E11" s="176">
        <f>VLOOKUP(B11,Tabelas!A:C,2,FALSE())</f>
        <v/>
      </c>
    </row>
    <row r="12" ht="15.75" customHeight="1" s="144">
      <c r="A12" s="175" t="inlineStr">
        <is>
          <t>Brazilian e-Science Workshop</t>
        </is>
      </c>
      <c r="B12" s="175" t="inlineStr">
        <is>
          <t>B5</t>
        </is>
      </c>
      <c r="C12" s="175">
        <f>IF(B12&lt;&gt;"NI",1,0)</f>
        <v/>
      </c>
      <c r="D12" s="229">
        <f>VLOOKUP(B12,Tabelas!A:C,3,FALSE())</f>
        <v/>
      </c>
      <c r="E12" s="176">
        <f>VLOOKUP(B12,Tabelas!A:C,2,FALSE())</f>
        <v/>
      </c>
    </row>
    <row r="13" ht="15.75" customHeight="1" s="144">
      <c r="A13" s="175" t="inlineStr">
        <is>
          <t>Brazilian Workshop on Social Network Analysis and Mining</t>
        </is>
      </c>
      <c r="B13" s="175" t="inlineStr">
        <is>
          <t>NI</t>
        </is>
      </c>
      <c r="C13" s="175">
        <f>IF(B13&lt;&gt;"NI",1,0)</f>
        <v/>
      </c>
      <c r="D13" s="229">
        <f>VLOOKUP(B13,Tabelas!A:C,3,FALSE())</f>
        <v/>
      </c>
      <c r="E13" s="176">
        <f>VLOOKUP(B13,Tabelas!A:C,2,FALSE())</f>
        <v/>
      </c>
    </row>
    <row r="14" ht="15.75" customHeight="1" s="144">
      <c r="A14" s="175" t="inlineStr">
        <is>
          <t>IV WORKSHOP SOBRE REGULAçãO</t>
        </is>
      </c>
      <c r="B14" s="175" t="inlineStr">
        <is>
          <t>NI</t>
        </is>
      </c>
      <c r="C14" s="175">
        <f>IF(B14&lt;&gt;"NI",1,0)</f>
        <v/>
      </c>
      <c r="D14" s="229">
        <f>VLOOKUP(B14,Tabelas!A:C,3,FALSE())</f>
        <v/>
      </c>
      <c r="E14" s="176">
        <f>VLOOKUP(B14,Tabelas!A:C,2,FALSE())</f>
        <v/>
      </c>
    </row>
    <row r="15" ht="15.75" customHeight="1" s="144">
      <c r="A15" s="175" t="inlineStr">
        <is>
          <t>Brazilian e-Science Workshop</t>
        </is>
      </c>
      <c r="B15" s="175" t="inlineStr">
        <is>
          <t>B5</t>
        </is>
      </c>
      <c r="C15" s="175">
        <f>IF(B15&lt;&gt;"NI",1,0)</f>
        <v/>
      </c>
      <c r="D15" s="229">
        <f>VLOOKUP(B15,Tabelas!A:C,3,FALSE())</f>
        <v/>
      </c>
      <c r="E15" s="176">
        <f>VLOOKUP(B15,Tabelas!A:C,2,FALSE())</f>
        <v/>
      </c>
    </row>
    <row r="16" ht="15.75" customHeight="1" s="144">
      <c r="A16" s="175" t="inlineStr">
        <is>
          <t>Simpósio Brasileiro de Banco de Dados</t>
        </is>
      </c>
      <c r="B16" s="175" t="inlineStr">
        <is>
          <t>B1</t>
        </is>
      </c>
      <c r="C16" s="175">
        <f>IF(B16&lt;&gt;"NI",1,0)</f>
        <v/>
      </c>
      <c r="D16" s="229">
        <f>VLOOKUP(B16,Tabelas!A:C,3,FALSE())</f>
        <v/>
      </c>
      <c r="E16" s="176">
        <f>VLOOKUP(B16,Tabelas!A:C,2,FALSE())</f>
        <v/>
      </c>
    </row>
    <row r="17" ht="15.75" customHeight="1" s="144">
      <c r="A17" s="175" t="inlineStr">
        <is>
          <t>Brazilian e-Science Workshop</t>
        </is>
      </c>
      <c r="B17" s="175" t="inlineStr">
        <is>
          <t>B5</t>
        </is>
      </c>
      <c r="C17" s="175">
        <f>IF(B17&lt;&gt;"NI",1,0)</f>
        <v/>
      </c>
      <c r="D17" s="229">
        <f>VLOOKUP(B17,Tabelas!A:C,3,FALSE())</f>
        <v/>
      </c>
      <c r="E17" s="176">
        <f>VLOOKUP(B17,Tabelas!A:C,2,FALSE())</f>
        <v/>
      </c>
    </row>
    <row r="18" ht="15.75" customHeight="1" s="144">
      <c r="A18" s="175" t="inlineStr">
        <is>
          <t>International Conference on Computational Science</t>
        </is>
      </c>
      <c r="B18" s="175" t="inlineStr">
        <is>
          <t>B3</t>
        </is>
      </c>
      <c r="C18" s="175">
        <f>IF(B18&lt;&gt;"NI",1,0)</f>
        <v/>
      </c>
      <c r="D18" s="229">
        <f>VLOOKUP(B18,Tabelas!A:C,3,FALSE())</f>
        <v/>
      </c>
      <c r="E18" s="176">
        <f>VLOOKUP(B18,Tabelas!A:C,2,FALSE())</f>
        <v/>
      </c>
    </row>
    <row r="19" ht="15.75" customHeight="1" s="144">
      <c r="A19" s="175" t="inlineStr">
        <is>
          <t>International Conference on Computational Science</t>
        </is>
      </c>
      <c r="B19" s="175" t="inlineStr">
        <is>
          <t>B3</t>
        </is>
      </c>
      <c r="C19" s="175">
        <f>IF(B19&lt;&gt;"NI",1,0)</f>
        <v/>
      </c>
      <c r="D19" s="229">
        <f>VLOOKUP(B19,Tabelas!A:C,3,FALSE())</f>
        <v/>
      </c>
      <c r="E19" s="176">
        <f>VLOOKUP(B19,Tabelas!A:C,2,FALSE())</f>
        <v/>
      </c>
    </row>
    <row r="20" ht="15.75" customHeight="1" s="144">
      <c r="A20" s="175" t="inlineStr">
        <is>
          <t>50º SBPO ? Simpósio Brasileiro de Pesquisa Operacional</t>
        </is>
      </c>
      <c r="B20" s="175" t="inlineStr">
        <is>
          <t>B4</t>
        </is>
      </c>
      <c r="C20" s="175">
        <f>IF(B20&lt;&gt;"NI",1,0)</f>
        <v/>
      </c>
      <c r="D20" s="229">
        <f>VLOOKUP(B20,Tabelas!A:C,3,FALSE())</f>
        <v/>
      </c>
      <c r="E20" s="176">
        <f>VLOOKUP(B20,Tabelas!A:C,2,FALSE())</f>
        <v/>
      </c>
    </row>
    <row r="21" ht="15.75" customHeight="1" s="144">
      <c r="A21" s="175" t="inlineStr">
        <is>
          <t>Latin American Conference on Learning Objects and Technologies</t>
        </is>
      </c>
      <c r="B21" s="175" t="inlineStr">
        <is>
          <t>B3</t>
        </is>
      </c>
      <c r="C21" s="175">
        <f>IF(B21&lt;&gt;"NI",1,0)</f>
        <v/>
      </c>
      <c r="D21" s="229">
        <f>VLOOKUP(B21,Tabelas!A:C,3,FALSE())</f>
        <v/>
      </c>
      <c r="E21" s="176">
        <f>VLOOKUP(B21,Tabelas!A:C,2,FALSE())</f>
        <v/>
      </c>
    </row>
    <row r="22" ht="15.75" customHeight="1" s="144">
      <c r="A22" s="175" t="inlineStr">
        <is>
          <t>2018 International Joint Conference on Neural Networks (IJCNN)</t>
        </is>
      </c>
      <c r="B22" s="175" t="inlineStr">
        <is>
          <t>NI</t>
        </is>
      </c>
      <c r="C22" s="175">
        <f>IF(B22&lt;&gt;"NI",1,0)</f>
        <v/>
      </c>
      <c r="D22" s="229">
        <f>VLOOKUP(B22,Tabelas!A:C,3,FALSE())</f>
        <v/>
      </c>
      <c r="E22" s="176">
        <f>VLOOKUP(B22,Tabelas!A:C,2,FALSE())</f>
        <v/>
      </c>
    </row>
    <row r="23" ht="15.75" customHeight="1" s="144">
      <c r="A23" s="175" t="inlineStr">
        <is>
          <t>ACM Multimedia Systems Conference</t>
        </is>
      </c>
      <c r="B23" s="175" t="inlineStr">
        <is>
          <t>A2</t>
        </is>
      </c>
      <c r="C23" s="175">
        <f>IF(B23&lt;&gt;"NI",1,0)</f>
        <v/>
      </c>
      <c r="D23" s="229">
        <f>VLOOKUP(B23,Tabelas!A:C,3,FALSE())</f>
        <v/>
      </c>
      <c r="E23" s="176">
        <f>VLOOKUP(B23,Tabelas!A:C,2,FALSE())</f>
        <v/>
      </c>
    </row>
    <row r="24" ht="15.75" customHeight="1" s="144">
      <c r="A24" s="175" t="inlineStr">
        <is>
          <t>International Conference on Computational Science and Its Applications</t>
        </is>
      </c>
      <c r="B24" s="175" t="inlineStr">
        <is>
          <t>B1</t>
        </is>
      </c>
      <c r="C24" s="175">
        <f>IF(B24&lt;&gt;"NI",1,0)</f>
        <v/>
      </c>
      <c r="D24" s="229">
        <f>VLOOKUP(B24,Tabelas!A:C,3,FALSE())</f>
        <v/>
      </c>
      <c r="E24" s="176">
        <f>VLOOKUP(B24,Tabelas!A:C,2,FALSE())</f>
        <v/>
      </c>
    </row>
    <row r="25" ht="15.75" customHeight="1" s="144">
      <c r="A25" s="175" t="inlineStr">
        <is>
          <t>IEEE International Joint Conference on Neural Networks</t>
        </is>
      </c>
      <c r="B25" s="175" t="inlineStr">
        <is>
          <t>A2</t>
        </is>
      </c>
      <c r="C25" s="175">
        <f>IF(B25&lt;&gt;"NI",1,0)</f>
        <v/>
      </c>
      <c r="D25" s="229">
        <f>VLOOKUP(B25,Tabelas!A:C,3,FALSE())</f>
        <v/>
      </c>
      <c r="E25" s="176">
        <f>VLOOKUP(B25,Tabelas!A:C,2,FALSE())</f>
        <v/>
      </c>
    </row>
    <row r="26" ht="15.75" customHeight="1" s="144">
      <c r="A26" s="175" t="inlineStr">
        <is>
          <t>Brazilian Symposium on Multimedia and the Web</t>
        </is>
      </c>
      <c r="B26" s="175" t="inlineStr">
        <is>
          <t>B1</t>
        </is>
      </c>
      <c r="C26" s="175">
        <f>IF(B26&lt;&gt;"NI",1,0)</f>
        <v/>
      </c>
      <c r="D26" s="229">
        <f>VLOOKUP(B26,Tabelas!A:C,3,FALSE())</f>
        <v/>
      </c>
      <c r="E26" s="176">
        <f>VLOOKUP(B26,Tabelas!A:C,2,FALSE())</f>
        <v/>
      </c>
    </row>
    <row r="27" ht="15.75" customHeight="1" s="144">
      <c r="A27" s="175" t="inlineStr">
        <is>
          <t>Simpósio Brasileiro de Informática na Educação</t>
        </is>
      </c>
      <c r="B27" s="175" t="inlineStr">
        <is>
          <t>B1</t>
        </is>
      </c>
      <c r="C27" s="175">
        <f>IF(B27&lt;&gt;"NI",1,0)</f>
        <v/>
      </c>
      <c r="D27" s="229">
        <f>VLOOKUP(B27,Tabelas!A:C,3,FALSE())</f>
        <v/>
      </c>
      <c r="E27" s="176">
        <f>VLOOKUP(B27,Tabelas!A:C,2,FALSE())</f>
        <v/>
      </c>
    </row>
    <row r="28" ht="15.75" customHeight="1" s="144">
      <c r="A28" s="175" t="inlineStr">
        <is>
          <t>Brazilian Workshop on Social Network Analysis and Mining</t>
        </is>
      </c>
      <c r="B28" s="175" t="inlineStr">
        <is>
          <t>NI</t>
        </is>
      </c>
      <c r="C28" s="175">
        <f>IF(B28&lt;&gt;"NI",1,0)</f>
        <v/>
      </c>
      <c r="D28" s="229">
        <f>VLOOKUP(B28,Tabelas!A:C,3,FALSE())</f>
        <v/>
      </c>
      <c r="E28" s="176">
        <f>VLOOKUP(B28,Tabelas!A:C,2,FALSE())</f>
        <v/>
      </c>
    </row>
    <row r="29" ht="15.75" customHeight="1" s="144">
      <c r="A29" s="175" t="inlineStr">
        <is>
          <t>XXI Encontro Nacional de Modelagem Computacional e IX Encontro de Ciência e Tecnologia de Materiais</t>
        </is>
      </c>
      <c r="B29" s="175" t="inlineStr">
        <is>
          <t>NI</t>
        </is>
      </c>
      <c r="C29" s="175">
        <f>IF(B29&lt;&gt;"NI",1,0)</f>
        <v/>
      </c>
      <c r="D29" s="229">
        <f>VLOOKUP(B29,Tabelas!A:C,3,FALSE())</f>
        <v/>
      </c>
      <c r="E29" s="176">
        <f>VLOOKUP(B29,Tabelas!A:C,2,FALSE())</f>
        <v/>
      </c>
    </row>
    <row r="30" ht="15.75" customHeight="1" s="144">
      <c r="A30" s="175" t="inlineStr">
        <is>
          <t>CSEDU 2018 - International Conference on Computer Supported Education</t>
        </is>
      </c>
      <c r="B30" s="175" t="inlineStr">
        <is>
          <t>B1</t>
        </is>
      </c>
      <c r="C30" s="175">
        <f>IF(B30&lt;&gt;"NI",1,0)</f>
        <v/>
      </c>
      <c r="D30" s="229">
        <f>VLOOKUP(B30,Tabelas!A:C,3,FALSE())</f>
        <v/>
      </c>
      <c r="E30" s="176">
        <f>VLOOKUP(B30,Tabelas!A:C,2,FALSE())</f>
        <v/>
      </c>
    </row>
    <row r="31" ht="15.75" customHeight="1" s="144">
      <c r="A31" s="175" t="inlineStr">
        <is>
          <t>Latin America Workshop on Data Science</t>
        </is>
      </c>
      <c r="B31" s="175" t="inlineStr">
        <is>
          <t>NI</t>
        </is>
      </c>
      <c r="C31" s="175">
        <f>IF(B31&lt;&gt;"NI",1,0)</f>
        <v/>
      </c>
      <c r="D31" s="229">
        <f>VLOOKUP(B31,Tabelas!A:C,3,FALSE())</f>
        <v/>
      </c>
      <c r="E31" s="176">
        <f>VLOOKUP(B31,Tabelas!A:C,2,FALSE())</f>
        <v/>
      </c>
    </row>
    <row r="32" ht="15.75" customHeight="1" s="144">
      <c r="A32" s="175" t="inlineStr">
        <is>
          <t>2018 Workshop on Metrology for Industry 4</t>
        </is>
      </c>
      <c r="B32" s="175" t="inlineStr">
        <is>
          <t>NI</t>
        </is>
      </c>
      <c r="C32" s="175">
        <f>IF(B32&lt;&gt;"NI",1,0)</f>
        <v/>
      </c>
      <c r="D32" s="229">
        <f>VLOOKUP(B32,Tabelas!A:C,3,FALSE())</f>
        <v/>
      </c>
      <c r="E32" s="176">
        <f>VLOOKUP(B32,Tabelas!A:C,2,FALSE())</f>
        <v/>
      </c>
    </row>
    <row r="33" ht="15.75" customHeight="1" s="144">
      <c r="A33" s="175" t="inlineStr">
        <is>
          <t>IV WORKSHOP SOBRE REGULAçãO</t>
        </is>
      </c>
      <c r="B33" s="175" t="inlineStr">
        <is>
          <t>NI</t>
        </is>
      </c>
      <c r="C33" s="175">
        <f>IF(B33&lt;&gt;"NI",1,0)</f>
        <v/>
      </c>
      <c r="D33" s="229">
        <f>VLOOKUP(B33,Tabelas!A:C,3,FALSE())</f>
        <v/>
      </c>
      <c r="E33" s="176">
        <f>VLOOKUP(B33,Tabelas!A:C,2,FALSE())</f>
        <v/>
      </c>
    </row>
    <row r="34" ht="15.75" customHeight="1" s="144">
      <c r="A34" s="175" t="inlineStr">
        <is>
          <t>2018 Workshop on Metrology for Industry 4</t>
        </is>
      </c>
      <c r="B34" s="175" t="inlineStr">
        <is>
          <t>NI</t>
        </is>
      </c>
      <c r="C34" s="175">
        <f>IF(B34&lt;&gt;"NI",1,0)</f>
        <v/>
      </c>
      <c r="D34" s="229">
        <f>VLOOKUP(B34,Tabelas!A:C,3,FALSE())</f>
        <v/>
      </c>
      <c r="E34" s="176">
        <f>VLOOKUP(B34,Tabelas!A:C,2,FALSE())</f>
        <v/>
      </c>
    </row>
    <row r="35" ht="15.75" customHeight="1" s="144">
      <c r="A35" s="175" t="inlineStr">
        <is>
          <t>50º SBPO ? Simpósio Brasileiro de Pesquisa Operacional</t>
        </is>
      </c>
      <c r="B35" s="175" t="inlineStr">
        <is>
          <t>B4</t>
        </is>
      </c>
      <c r="C35" s="175">
        <f>IF(B35&lt;&gt;"NI",1,0)</f>
        <v/>
      </c>
      <c r="D35" s="229">
        <f>VLOOKUP(B35,Tabelas!A:C,3,FALSE())</f>
        <v/>
      </c>
      <c r="E35" s="176">
        <f>VLOOKUP(B35,Tabelas!A:C,2,FALSE())</f>
        <v/>
      </c>
    </row>
    <row r="36" ht="15.75" customHeight="1" s="144">
      <c r="A36" s="175" t="inlineStr">
        <is>
          <t>XXI Encontro Nacional de Modelagem Computacional e IX Encontro de Ciência e Tecnologia de Materiais</t>
        </is>
      </c>
      <c r="B36" s="175" t="inlineStr">
        <is>
          <t>NI</t>
        </is>
      </c>
      <c r="C36" s="175">
        <f>IF(B36&lt;&gt;"NI",1,0)</f>
        <v/>
      </c>
      <c r="D36" s="229">
        <f>VLOOKUP(B36,Tabelas!A:C,3,FALSE())</f>
        <v/>
      </c>
      <c r="E36" s="176">
        <f>VLOOKUP(B36,Tabelas!A:C,2,FALSE())</f>
        <v/>
      </c>
    </row>
    <row r="37" ht="15.75" customHeight="1" s="144">
      <c r="A37" s="175" t="inlineStr">
        <is>
          <t>26th European Signal Processing Conference (EUSIPCO 2018)</t>
        </is>
      </c>
      <c r="B37" s="175" t="inlineStr">
        <is>
          <t>B1</t>
        </is>
      </c>
      <c r="C37" s="175">
        <f>IF(B37&lt;&gt;"NI",1,0)</f>
        <v/>
      </c>
      <c r="D37" s="229">
        <f>VLOOKUP(B37,Tabelas!A:C,3,FALSE())</f>
        <v/>
      </c>
      <c r="E37" s="176">
        <f>VLOOKUP(B37,Tabelas!A:C,2,FALSE())</f>
        <v/>
      </c>
    </row>
    <row r="38" ht="15.75" customHeight="1" s="144">
      <c r="A38" s="175" t="inlineStr">
        <is>
          <t>XXXVI Simpósio Brasileiro de Telecomunicações e Processamento de Sinais</t>
        </is>
      </c>
      <c r="B38" s="175" t="inlineStr">
        <is>
          <t>B5</t>
        </is>
      </c>
      <c r="C38" s="175">
        <f>IF(B38&lt;&gt;"NI",1,0)</f>
        <v/>
      </c>
      <c r="D38" s="229">
        <f>VLOOKUP(B38,Tabelas!A:C,3,FALSE())</f>
        <v/>
      </c>
      <c r="E38" s="176">
        <f>VLOOKUP(B38,Tabelas!A:C,2,FALSE())</f>
        <v/>
      </c>
    </row>
    <row r="39" ht="15.75" customHeight="1" s="144">
      <c r="A39" s="175" t="inlineStr">
        <is>
          <t>Simpósio Brasileiro de Banco de Dados</t>
        </is>
      </c>
      <c r="B39" s="175" t="inlineStr">
        <is>
          <t>B1</t>
        </is>
      </c>
      <c r="C39" s="175">
        <f>IF(B39&lt;&gt;"NI",1,0)</f>
        <v/>
      </c>
      <c r="D39" s="229">
        <f>VLOOKUP(B39,Tabelas!A:C,3,FALSE())</f>
        <v/>
      </c>
      <c r="E39" s="176">
        <f>VLOOKUP(B39,Tabelas!A:C,2,FALSE())</f>
        <v/>
      </c>
    </row>
    <row r="40" ht="15.75" customHeight="1" s="144">
      <c r="A40" s="175" t="inlineStr">
        <is>
          <t>International Conference on Scientific and Statistical Database Management</t>
        </is>
      </c>
      <c r="B40" s="175" t="inlineStr">
        <is>
          <t>B1</t>
        </is>
      </c>
      <c r="C40" s="175">
        <f>IF(B40&lt;&gt;"NI",1,0)</f>
        <v/>
      </c>
      <c r="D40" s="229">
        <f>VLOOKUP(B40,Tabelas!A:C,3,FALSE())</f>
        <v/>
      </c>
      <c r="E40" s="176">
        <f>VLOOKUP(B40,Tabelas!A:C,2,FALSE())</f>
        <v/>
      </c>
    </row>
    <row r="41" ht="15.75" customHeight="1" s="144">
      <c r="A41" s="175" t="inlineStr">
        <is>
          <t>2018 International Joint Conference on Neural Networks (IJCNN)</t>
        </is>
      </c>
      <c r="B41" s="175" t="inlineStr">
        <is>
          <t>A2</t>
        </is>
      </c>
      <c r="C41" s="175">
        <f>IF(B41&lt;&gt;"NI",1,0)</f>
        <v/>
      </c>
      <c r="D41" s="229">
        <f>VLOOKUP(B41,Tabelas!A:C,3,FALSE())</f>
        <v/>
      </c>
      <c r="E41" s="176">
        <f>VLOOKUP(B41,Tabelas!A:C,2,FALSE())</f>
        <v/>
      </c>
    </row>
    <row r="42" ht="15.75" customHeight="1" s="144">
      <c r="A42" s="175" t="inlineStr">
        <is>
          <t>Simpósio Brasileiro de Informática na Educação</t>
        </is>
      </c>
      <c r="B42" s="175" t="inlineStr">
        <is>
          <t>B1</t>
        </is>
      </c>
      <c r="C42" s="175">
        <f>IF(B42&lt;&gt;"NI",1,0)</f>
        <v/>
      </c>
      <c r="D42" s="229">
        <f>VLOOKUP(B42,Tabelas!A:C,3,FALSE())</f>
        <v/>
      </c>
      <c r="E42" s="176">
        <f>VLOOKUP(B42,Tabelas!A:C,2,FALSE())</f>
        <v/>
      </c>
    </row>
    <row r="43" ht="15.75" customHeight="1" s="144">
      <c r="A43" s="175" t="inlineStr">
        <is>
          <t>CLEI - Conferencia Latinoamericana de Informática</t>
        </is>
      </c>
      <c r="B43" s="175" t="inlineStr">
        <is>
          <t>B3</t>
        </is>
      </c>
      <c r="C43" s="175">
        <f>IF(B43&lt;&gt;"NI",1,0)</f>
        <v/>
      </c>
      <c r="D43" s="229">
        <f>VLOOKUP(B43,Tabelas!A:C,3,FALSE())</f>
        <v/>
      </c>
      <c r="E43" s="176">
        <f>VLOOKUP(B43,Tabelas!A:C,2,FALSE())</f>
        <v/>
      </c>
    </row>
    <row r="44" ht="15.75" customHeight="1" s="144">
      <c r="A44" s="175" t="inlineStr">
        <is>
          <t>17th Annual IEEE International Conference on Electro Information Technology (EIT 2018)</t>
        </is>
      </c>
      <c r="B44" s="175" t="inlineStr">
        <is>
          <t>NI</t>
        </is>
      </c>
      <c r="C44" s="175">
        <f>IF(B44&lt;&gt;"NI",1,0)</f>
        <v/>
      </c>
      <c r="D44" s="229">
        <f>VLOOKUP(B44,Tabelas!A:C,3,FALSE())</f>
        <v/>
      </c>
      <c r="E44" s="176">
        <f>VLOOKUP(B44,Tabelas!A:C,2,FALSE())</f>
        <v/>
      </c>
    </row>
    <row r="45" ht="15.75" customHeight="1" s="144">
      <c r="A45" s="175" t="inlineStr">
        <is>
          <t>XXII Congresso Brasileiro de Automática</t>
        </is>
      </c>
      <c r="B45" s="175" t="inlineStr">
        <is>
          <t>B5</t>
        </is>
      </c>
      <c r="C45" s="175">
        <f>IF(B45&lt;&gt;"NI",1,0)</f>
        <v/>
      </c>
      <c r="D45" s="229">
        <f>VLOOKUP(B45,Tabelas!A:C,3,FALSE())</f>
        <v/>
      </c>
      <c r="E45" s="176">
        <f>VLOOKUP(B45,Tabelas!A:C,2,FALSE())</f>
        <v/>
      </c>
    </row>
    <row r="46" ht="15.75" customHeight="1" s="144">
      <c r="A46" s="175" t="inlineStr">
        <is>
          <t>2018 Workshop on Metrology for Industry 4</t>
        </is>
      </c>
      <c r="B46" s="175" t="inlineStr">
        <is>
          <t>NI</t>
        </is>
      </c>
      <c r="C46" s="175">
        <f>IF(B46&lt;&gt;"NI",1,0)</f>
        <v/>
      </c>
      <c r="D46" s="229">
        <f>VLOOKUP(B46,Tabelas!A:C,3,FALSE())</f>
        <v/>
      </c>
      <c r="E46" s="176">
        <f>VLOOKUP(B46,Tabelas!A:C,2,FALSE())</f>
        <v/>
      </c>
    </row>
    <row r="47" ht="15.75" customHeight="1" s="144">
      <c r="A47" s="175" t="inlineStr">
        <is>
          <t>2018 Workshop on Metrology for Industry 4</t>
        </is>
      </c>
      <c r="B47" s="175" t="inlineStr">
        <is>
          <t>NI</t>
        </is>
      </c>
      <c r="C47" s="175">
        <f>IF(B47&lt;&gt;"NI",1,0)</f>
        <v/>
      </c>
      <c r="D47" s="229">
        <f>VLOOKUP(B47,Tabelas!A:C,3,FALSE())</f>
        <v/>
      </c>
      <c r="E47" s="176">
        <f>VLOOKUP(B47,Tabelas!A:C,2,FALSE())</f>
        <v/>
      </c>
    </row>
    <row r="48" ht="15.75" customHeight="1" s="144">
      <c r="A48" s="175" t="inlineStr">
        <is>
          <t>2018 International Joint Conference on Neural Networks (IJCNN)</t>
        </is>
      </c>
      <c r="B48" s="175" t="inlineStr">
        <is>
          <t>A2</t>
        </is>
      </c>
      <c r="C48" s="175">
        <f>IF(B48&lt;&gt;"NI",1,0)</f>
        <v/>
      </c>
      <c r="D48" s="229">
        <f>VLOOKUP(B48,Tabelas!A:C,3,FALSE())</f>
        <v/>
      </c>
      <c r="E48" s="176">
        <f>VLOOKUP(B48,Tabelas!A:C,2,FALSE())</f>
        <v/>
      </c>
    </row>
    <row r="49" ht="15.75" customHeight="1" s="144">
      <c r="A49" s="175" t="inlineStr">
        <is>
          <t>Latin American Conference on Learning Objects and Technologies</t>
        </is>
      </c>
      <c r="B49" s="175" t="inlineStr">
        <is>
          <t>B3</t>
        </is>
      </c>
      <c r="C49" s="175">
        <f>IF(B49&lt;&gt;"NI",1,0)</f>
        <v/>
      </c>
      <c r="D49" s="229">
        <f>VLOOKUP(B49,Tabelas!A:C,3,FALSE())</f>
        <v/>
      </c>
      <c r="E49" s="176">
        <f>VLOOKUP(B49,Tabelas!A:C,2,FALSE())</f>
        <v/>
      </c>
    </row>
    <row r="50" ht="15.75" customHeight="1" s="144">
      <c r="A50" s="175" t="inlineStr">
        <is>
          <t>IV WORKSHOP SOBRE REGULAçãO</t>
        </is>
      </c>
      <c r="B50" s="175" t="inlineStr">
        <is>
          <t>NI</t>
        </is>
      </c>
      <c r="C50" s="175">
        <f>IF(B50&lt;&gt;"NI",1,0)</f>
        <v/>
      </c>
      <c r="D50" s="229">
        <f>VLOOKUP(B50,Tabelas!A:C,3,FALSE())</f>
        <v/>
      </c>
      <c r="E50" s="176">
        <f>VLOOKUP(B50,Tabelas!A:C,2,FALSE())</f>
        <v/>
      </c>
    </row>
    <row r="51" ht="15.75" customHeight="1" s="144">
      <c r="A51" s="175" t="inlineStr">
        <is>
          <t>IV WORKSHOP SOBRE REGULAçãO</t>
        </is>
      </c>
      <c r="B51" s="175" t="inlineStr">
        <is>
          <t>NI</t>
        </is>
      </c>
      <c r="C51" s="175">
        <f>IF(B51&lt;&gt;"NI",1,0)</f>
        <v/>
      </c>
      <c r="D51" s="229">
        <f>VLOOKUP(B51,Tabelas!A:C,3,FALSE())</f>
        <v/>
      </c>
      <c r="E51" s="176">
        <f>VLOOKUP(B51,Tabelas!A:C,2,FALSE())</f>
        <v/>
      </c>
    </row>
    <row r="52" ht="15.75" customHeight="1" s="144">
      <c r="A52" s="175" t="inlineStr">
        <is>
          <t>Brazilian Workshop on Social Network Analysis and Mining</t>
        </is>
      </c>
      <c r="B52" s="175" t="inlineStr">
        <is>
          <t>NI</t>
        </is>
      </c>
      <c r="C52" s="175">
        <f>IF(B52&lt;&gt;"NI",1,0)</f>
        <v/>
      </c>
      <c r="D52" s="229">
        <f>VLOOKUP(B52,Tabelas!A:C,3,FALSE())</f>
        <v/>
      </c>
      <c r="E52" s="176">
        <f>VLOOKUP(B52,Tabelas!A:C,2,FALSE())</f>
        <v/>
      </c>
    </row>
    <row r="53" ht="15.75" customHeight="1" s="144">
      <c r="A53" s="175" t="inlineStr">
        <is>
          <t>Simpósio Brasileiro sobre Fatores Humanos em Sistemas Computacionais</t>
        </is>
      </c>
      <c r="B53" s="175" t="inlineStr">
        <is>
          <t>B2</t>
        </is>
      </c>
      <c r="C53" s="175">
        <f>IF(B53&lt;&gt;"NI",1,0)</f>
        <v/>
      </c>
      <c r="D53" s="229">
        <f>VLOOKUP(B53,Tabelas!A:C,3,FALSE())</f>
        <v/>
      </c>
      <c r="E53" s="176">
        <f>VLOOKUP(B53,Tabelas!A:C,2,FALSE())</f>
        <v/>
      </c>
    </row>
    <row r="54" ht="15.75" customHeight="1" s="144">
      <c r="A54" s="175" t="inlineStr">
        <is>
          <t>Escola Regional de Sistemas de Informação do Rio de Janeiro</t>
        </is>
      </c>
      <c r="B54" s="175" t="inlineStr">
        <is>
          <t>NI</t>
        </is>
      </c>
      <c r="C54" s="175">
        <f>IF(B54&lt;&gt;"NI",1,0)</f>
        <v/>
      </c>
      <c r="D54" s="229">
        <f>VLOOKUP(B54,Tabelas!A:C,3,FALSE())</f>
        <v/>
      </c>
      <c r="E54" s="176">
        <f>VLOOKUP(B54,Tabelas!A:C,2,FALSE())</f>
        <v/>
      </c>
    </row>
    <row r="55" ht="15.75" customHeight="1" s="144">
      <c r="A55" s="175" t="inlineStr">
        <is>
          <t>Brazilian Workshop on Social Network Analysis and Mining</t>
        </is>
      </c>
      <c r="B55" s="175" t="inlineStr">
        <is>
          <t>NI</t>
        </is>
      </c>
      <c r="C55" s="175">
        <f>IF(B55&lt;&gt;"NI",1,0)</f>
        <v/>
      </c>
      <c r="D55" s="229">
        <f>VLOOKUP(B55,Tabelas!A:C,3,FALSE())</f>
        <v/>
      </c>
      <c r="E55" s="176">
        <f>VLOOKUP(B55,Tabelas!A:C,2,FALSE())</f>
        <v/>
      </c>
    </row>
    <row r="56" ht="15.75" customHeight="1" s="144">
      <c r="A56" s="175" t="inlineStr">
        <is>
          <t>Simpósio Brasileiro de Banco de Dados</t>
        </is>
      </c>
      <c r="B56" s="175" t="inlineStr">
        <is>
          <t>B1</t>
        </is>
      </c>
      <c r="C56" s="175">
        <f>IF(B56&lt;&gt;"NI",1,0)</f>
        <v/>
      </c>
      <c r="D56" s="229">
        <f>VLOOKUP(B56,Tabelas!A:C,3,FALSE())</f>
        <v/>
      </c>
      <c r="E56" s="176">
        <f>VLOOKUP(B56,Tabelas!A:C,2,FALSE())</f>
        <v/>
      </c>
    </row>
    <row r="57" ht="15.75" customHeight="1" s="144">
      <c r="A57" s="175" t="inlineStr">
        <is>
          <t>Brazilian Symposium on Multimedia and the Web</t>
        </is>
      </c>
      <c r="B57" s="175" t="inlineStr">
        <is>
          <t>B1</t>
        </is>
      </c>
      <c r="C57" s="175">
        <f>IF(B57&lt;&gt;"NI",1,0)</f>
        <v/>
      </c>
      <c r="D57" s="229">
        <f>VLOOKUP(B57,Tabelas!A:C,3,FALSE())</f>
        <v/>
      </c>
      <c r="E57" s="176">
        <f>VLOOKUP(B57,Tabelas!A:C,2,FALSE())</f>
        <v/>
      </c>
    </row>
    <row r="58" ht="15.75" customHeight="1" s="144">
      <c r="A58" s="175" t="inlineStr">
        <is>
          <t>IJCNN - IEEE International Joint Conference on Neural Networks</t>
        </is>
      </c>
      <c r="B58" s="175" t="inlineStr">
        <is>
          <t>A2</t>
        </is>
      </c>
      <c r="C58" s="175">
        <f>IF(B58&lt;&gt;"NI",1,0)</f>
        <v/>
      </c>
      <c r="D58" s="229">
        <f>VLOOKUP(B58,Tabelas!A:C,3,FALSE())</f>
        <v/>
      </c>
      <c r="E58" s="176">
        <f>VLOOKUP(B58,Tabelas!A:C,2,FALSE())</f>
        <v/>
      </c>
    </row>
    <row r="59" ht="15.75" customHeight="1" s="144">
      <c r="A59" s="175" t="inlineStr">
        <is>
          <t>Simpósio Brasileiro de Banco de Dados</t>
        </is>
      </c>
      <c r="B59" s="175" t="inlineStr">
        <is>
          <t>B1</t>
        </is>
      </c>
      <c r="C59" s="175">
        <f>IF(B59&lt;&gt;"NI",1,0)</f>
        <v/>
      </c>
      <c r="D59" s="229">
        <f>VLOOKUP(B59,Tabelas!A:C,3,FALSE())</f>
        <v/>
      </c>
      <c r="E59" s="176">
        <f>VLOOKUP(B59,Tabelas!A:C,2,FALSE())</f>
        <v/>
      </c>
    </row>
    <row r="60" ht="15.75" customHeight="1" s="144">
      <c r="A60" s="175" t="inlineStr">
        <is>
          <t>Escola Regional de Sistemas de Informação</t>
        </is>
      </c>
      <c r="B60" s="175" t="inlineStr">
        <is>
          <t>NI</t>
        </is>
      </c>
      <c r="C60" s="175">
        <f>IF(B60&lt;&gt;"NI",1,0)</f>
        <v/>
      </c>
      <c r="D60" s="229">
        <f>VLOOKUP(B60,Tabelas!A:C,3,FALSE())</f>
        <v/>
      </c>
      <c r="E60" s="176">
        <f>VLOOKUP(B60,Tabelas!A:C,2,FALSE())</f>
        <v/>
      </c>
    </row>
    <row r="61" ht="15.75" customHeight="1" s="144">
      <c r="A61" s="175" t="inlineStr">
        <is>
          <t>IV WORKSHOP SOBRE REGULAçãO</t>
        </is>
      </c>
      <c r="B61" s="175" t="inlineStr">
        <is>
          <t>NI</t>
        </is>
      </c>
      <c r="C61" s="175">
        <f>IF(B61&lt;&gt;"NI",1,0)</f>
        <v/>
      </c>
      <c r="D61" s="229">
        <f>VLOOKUP(B61,Tabelas!A:C,3,FALSE())</f>
        <v/>
      </c>
      <c r="E61" s="176">
        <f>VLOOKUP(B61,Tabelas!A:C,2,FALSE())</f>
        <v/>
      </c>
    </row>
    <row r="62" ht="15.75" customHeight="1" s="144">
      <c r="A62" s="175" t="inlineStr">
        <is>
          <t>Latin America Workshop on Data Science</t>
        </is>
      </c>
      <c r="B62" s="175" t="inlineStr">
        <is>
          <t>NI</t>
        </is>
      </c>
      <c r="C62" s="175">
        <f>IF(B62&lt;&gt;"NI",1,0)</f>
        <v/>
      </c>
      <c r="D62" s="229">
        <f>VLOOKUP(B62,Tabelas!A:C,3,FALSE())</f>
        <v/>
      </c>
      <c r="E62" s="176">
        <f>VLOOKUP(B62,Tabelas!A:C,2,FALSE())</f>
        <v/>
      </c>
    </row>
    <row r="63" ht="15.75" customHeight="1" s="144">
      <c r="A63" s="175" t="inlineStr">
        <is>
          <t>Brazilian Symposium on Multimedia and the Web</t>
        </is>
      </c>
      <c r="B63" s="175" t="inlineStr">
        <is>
          <t>B1</t>
        </is>
      </c>
      <c r="C63" s="175">
        <f>IF(B63&lt;&gt;"NI",1,0)</f>
        <v/>
      </c>
      <c r="D63" s="229">
        <f>VLOOKUP(B63,Tabelas!A:C,3,FALSE())</f>
        <v/>
      </c>
      <c r="E63" s="176">
        <f>VLOOKUP(B63,Tabelas!A:C,2,FALSE())</f>
        <v/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7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M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pane xSplit="1" ySplit="1" topLeftCell="B47" activePane="bottomRight" state="frozen"/>
      <selection pane="topLeft" activeCell="A1" activeCellId="0" sqref="A1"/>
      <selection pane="topRight" activeCell="B1" activeCellId="0" sqref="B1"/>
      <selection pane="bottomLeft" activeCell="A47" activeCellId="0" sqref="A47"/>
      <selection pane="bottomRight" activeCell="F70" activeCellId="0" sqref="F70"/>
    </sheetView>
  </sheetViews>
  <sheetFormatPr baseColWidth="8" defaultColWidth="8.87890625" defaultRowHeight="15.75" zeroHeight="0" outlineLevelRow="0"/>
  <cols>
    <col width="69.12" customWidth="1" style="175" min="1" max="1"/>
    <col width="5.88" customWidth="1" style="213" min="2" max="2"/>
    <col width="5.88" customWidth="1" style="150" min="3" max="3"/>
    <col width="5.88" customWidth="1" style="234" min="4" max="4"/>
    <col width="5.88" customWidth="1" style="235" min="5" max="5"/>
    <col width="1.62" customWidth="1" style="150" min="6" max="6"/>
    <col width="20.12" customWidth="1" style="236" min="7" max="7"/>
    <col width="11.88" customWidth="1" style="236" min="8" max="8"/>
    <col width="10.62" customWidth="1" style="236" min="9" max="9"/>
    <col width="12.12" customWidth="1" style="150" min="10" max="10"/>
    <col width="9" customWidth="1" style="235" min="11" max="11"/>
    <col width="10.62" customWidth="1" style="213" min="12" max="12"/>
    <col width="9" customWidth="1" style="237" min="13" max="13"/>
  </cols>
  <sheetData>
    <row r="1" ht="15.75" customHeight="1" s="144">
      <c r="A1" s="175" t="inlineStr">
        <is>
          <t>Periódicos</t>
        </is>
      </c>
      <c r="B1" s="213" t="inlineStr">
        <is>
          <t>Qualis</t>
        </is>
      </c>
      <c r="C1" s="238" t="inlineStr">
        <is>
          <t>CS</t>
        </is>
      </c>
      <c r="D1" s="234" t="inlineStr">
        <is>
          <t>Restrito</t>
        </is>
      </c>
      <c r="E1" s="235" t="inlineStr">
        <is>
          <t>Value</t>
        </is>
      </c>
      <c r="G1" s="239" t="inlineStr">
        <is>
          <t>ISSN/eISSN</t>
        </is>
      </c>
      <c r="H1" s="239" t="inlineStr">
        <is>
          <t>JIF (Percentil)</t>
        </is>
      </c>
      <c r="I1" s="239" t="inlineStr">
        <is>
          <t>Scopus</t>
        </is>
      </c>
      <c r="J1" s="239" t="inlineStr">
        <is>
          <t>Qualis-PDF</t>
        </is>
      </c>
      <c r="K1" s="235" t="inlineStr">
        <is>
          <t>QJIF</t>
        </is>
      </c>
      <c r="L1" s="213" t="inlineStr">
        <is>
          <t>Qscopus</t>
        </is>
      </c>
      <c r="M1" s="237" t="inlineStr">
        <is>
          <t>Max(PDF:Scopus)</t>
        </is>
      </c>
    </row>
    <row r="2" ht="15.75" customHeight="1" s="144">
      <c r="A2" s="228" t="inlineStr">
        <is>
          <t>DISCRETE APPLIED MATHEMATICS.</t>
        </is>
      </c>
      <c r="B2" s="213">
        <f>IF(M2&gt;1-1/8,"A1",IF(M2&gt;1-2/8,"A2",IF(M2&gt;1-3/8,"A3",IF(M2&gt;1/2,"A4",IF(M2&gt;1-5/8,"B1",IF(M2&gt;=0.2,"B2",IF(M2&gt;=0.1,"B3",IF(M2&gt;=0.05,"B4","NA"))))))))</f>
        <v/>
      </c>
      <c r="D2" s="234">
        <f>VLOOKUP(B2,Tabelas!A:C,3,FALSE())</f>
        <v/>
      </c>
      <c r="E2" s="235">
        <f>VLOOKUP(B2,Tabelas!A:C,2,FALSE())</f>
        <v/>
      </c>
      <c r="G2" s="236" t="inlineStr">
        <is>
          <t>0166-218X</t>
        </is>
      </c>
      <c r="J2" s="150" t="inlineStr">
        <is>
          <t>A2</t>
        </is>
      </c>
      <c r="K2" s="235">
        <f>IF(H2&gt;1-1/8,"A1",IF(H2&gt;1-2/8,"A2",IF(H2&gt;1-3/8,"A3",IF(H2&gt;1/2,"A4",IF(H2&gt;1-5/8,"B1",IF(H2&gt;1-6/8,"B2",IF(H2&gt;1-7/8,"B3",IF(H2&gt;0,"B4","NA"))))))))</f>
        <v/>
      </c>
      <c r="L2" s="213">
        <f>IF(I2&gt;1-1/8,"A1",IF(I2&gt;1-2/8,"A2",IF(I2&gt;1-3/8,"A3",IF(I2&gt;1/2,"A4",IF(I2&gt;1-5/8,"B1",IF(I2&gt;1-6/8,"B2",IF(I2&gt;1-7/8,"B3",IF(I2&gt;0,"B4","NA"))))))))</f>
        <v/>
      </c>
      <c r="M2" s="237">
        <f>MAX(VLOOKUP(L2,Tabelas!A:C,2,FALSE()),VLOOKUP(J2,Tabelas!A:C,2,FALSE()),VLOOKUP(J2,Tabelas!A:C,2,FALSE()))</f>
        <v/>
      </c>
    </row>
    <row r="3" ht="15.75" customHeight="1" s="144">
      <c r="A3" s="228" t="inlineStr">
        <is>
          <t>DISCRETE APPLIED MATHEMATICS.</t>
        </is>
      </c>
      <c r="B3" s="213">
        <f>IF(M3&gt;1-1/8,"A1",IF(M3&gt;1-2/8,"A2",IF(M3&gt;1-3/8,"A3",IF(M3&gt;1/2,"A4",IF(M3&gt;1-5/8,"B1",IF(M3&gt;=0.2,"B2",IF(M3&gt;=0.1,"B3",IF(M3&gt;=0.05,"B4","NA"))))))))</f>
        <v/>
      </c>
      <c r="D3" s="234">
        <f>VLOOKUP(B3,Tabelas!A:C,3,FALSE())</f>
        <v/>
      </c>
      <c r="E3" s="235">
        <f>VLOOKUP(B3,Tabelas!A:C,2,FALSE())</f>
        <v/>
      </c>
      <c r="G3" s="236" t="inlineStr">
        <is>
          <t>0166-218X</t>
        </is>
      </c>
      <c r="J3" s="150" t="inlineStr">
        <is>
          <t>A2</t>
        </is>
      </c>
      <c r="K3" s="235">
        <f>IF(H3&gt;1-1/8,"A1",IF(H3&gt;1-2/8,"A2",IF(H3&gt;1-3/8,"A3",IF(H3&gt;1/2,"A4",IF(H3&gt;1-5/8,"B1",IF(H3&gt;1-6/8,"B2",IF(H3&gt;1-7/8,"B3",IF(H3&gt;0,"B4","NA"))))))))</f>
        <v/>
      </c>
      <c r="L3" s="213">
        <f>IF(I3&gt;1-1/8,"A1",IF(I3&gt;1-2/8,"A2",IF(I3&gt;1-3/8,"A3",IF(I3&gt;1/2,"A4",IF(I3&gt;1-5/8,"B1",IF(I3&gt;1-6/8,"B2",IF(I3&gt;1-7/8,"B3",IF(I3&gt;0,"B4","NA"))))))))</f>
        <v/>
      </c>
      <c r="M3" s="237">
        <f>MAX(VLOOKUP(L3,Tabelas!A:C,2,FALSE()),VLOOKUP(J3,Tabelas!A:C,2,FALSE()),VLOOKUP(J3,Tabelas!A:C,2,FALSE()))</f>
        <v/>
      </c>
    </row>
    <row r="4" ht="15.75" customHeight="1" s="144">
      <c r="A4" s="228" t="inlineStr">
        <is>
          <t>JOURNAL OF INTERNET SERVICES AND APPLICATIONS.</t>
        </is>
      </c>
      <c r="B4" s="213">
        <f>IF(M4&gt;1-1/8,"A1",IF(M4&gt;1-2/8,"A2",IF(M4&gt;1-3/8,"A3",IF(M4&gt;1/2,"A4",IF(M4&gt;1-5/8,"B1",IF(M4&gt;=0.2,"B2",IF(M4&gt;=0.1,"B3",IF(M4&gt;=0.05,"B4","NA"))))))))</f>
        <v/>
      </c>
      <c r="D4" s="234">
        <f>VLOOKUP(B4,Tabelas!A:C,3,FALSE())</f>
        <v/>
      </c>
      <c r="E4" s="235">
        <f>VLOOKUP(B4,Tabelas!A:C,2,FALSE())</f>
        <v/>
      </c>
      <c r="G4" s="236" t="inlineStr">
        <is>
          <t>1867-4828</t>
        </is>
      </c>
      <c r="J4" s="150" t="inlineStr">
        <is>
          <t>A2</t>
        </is>
      </c>
      <c r="K4" s="235">
        <f>IF(H4&gt;1-1/8,"A1",IF(H4&gt;1-2/8,"A2",IF(H4&gt;1-3/8,"A3",IF(H4&gt;1/2,"A4",IF(H4&gt;1-5/8,"B1",IF(H4&gt;1-6/8,"B2",IF(H4&gt;1-7/8,"B3",IF(H4&gt;0,"B4","NA"))))))))</f>
        <v/>
      </c>
      <c r="L4" s="213">
        <f>IF(I4&gt;1-1/8,"A1",IF(I4&gt;1-2/8,"A2",IF(I4&gt;1-3/8,"A3",IF(I4&gt;1/2,"A4",IF(I4&gt;1-5/8,"B1",IF(I4&gt;1-6/8,"B2",IF(I4&gt;1-7/8,"B3",IF(I4&gt;0,"B4","NA"))))))))</f>
        <v/>
      </c>
      <c r="M4" s="237">
        <f>MAX(VLOOKUP(L4,Tabelas!A:C,2,FALSE()),VLOOKUP(J4,Tabelas!A:C,2,FALSE()),VLOOKUP(J4,Tabelas!A:C,2,FALSE()))</f>
        <v/>
      </c>
    </row>
    <row r="5" ht="15.75" customHeight="1" s="144">
      <c r="A5" s="228" t="inlineStr">
        <is>
          <t>ACM Transactions on Multimedia Computing Communications and Applications.</t>
        </is>
      </c>
      <c r="B5" s="213">
        <f>IF(M5&gt;1-1/8,"A1",IF(M5&gt;1-2/8,"A2",IF(M5&gt;1-3/8,"A3",IF(M5&gt;1/2,"A4",IF(M5&gt;1-5/8,"B1",IF(M5&gt;=0.2,"B2",IF(M5&gt;=0.1,"B3",IF(M5&gt;=0.05,"B4","NA"))))))))</f>
        <v/>
      </c>
      <c r="D5" s="234">
        <f>VLOOKUP(B5,Tabelas!A:C,3,FALSE())</f>
        <v/>
      </c>
      <c r="E5" s="235">
        <f>VLOOKUP(B5,Tabelas!A:C,2,FALSE())</f>
        <v/>
      </c>
      <c r="G5" s="236" t="inlineStr">
        <is>
          <t>1551-6857</t>
        </is>
      </c>
      <c r="J5" s="150" t="inlineStr">
        <is>
          <t>A2</t>
        </is>
      </c>
      <c r="K5" s="235">
        <f>IF(H5&gt;1-1/8,"A1",IF(H5&gt;1-2/8,"A2",IF(H5&gt;1-3/8,"A3",IF(H5&gt;1/2,"A4",IF(H5&gt;1-5/8,"B1",IF(H5&gt;1-6/8,"B2",IF(H5&gt;1-7/8,"B3",IF(H5&gt;0,"B4","NA"))))))))</f>
        <v/>
      </c>
      <c r="L5" s="213">
        <f>IF(I5&gt;1-1/8,"A1",IF(I5&gt;1-2/8,"A2",IF(I5&gt;1-3/8,"A3",IF(I5&gt;1/2,"A4",IF(I5&gt;1-5/8,"B1",IF(I5&gt;1-6/8,"B2",IF(I5&gt;1-7/8,"B3",IF(I5&gt;0,"B4","NA"))))))))</f>
        <v/>
      </c>
      <c r="M5" s="237">
        <f>MAX(VLOOKUP(L5,Tabelas!A:C,2,FALSE()),VLOOKUP(J5,Tabelas!A:C,2,FALSE()),VLOOKUP(J5,Tabelas!A:C,2,FALSE()))</f>
        <v/>
      </c>
    </row>
    <row r="6" ht="15.75" customHeight="1" s="144">
      <c r="A6" s="228" t="inlineStr">
        <is>
          <t>ELECTRONICS LETTERS.</t>
        </is>
      </c>
      <c r="B6" s="213">
        <f>IF(M6&gt;1-1/8,"A1",IF(M6&gt;1-2/8,"A2",IF(M6&gt;1-3/8,"A3",IF(M6&gt;1/2,"A4",IF(M6&gt;1-5/8,"B1",IF(M6&gt;=0.2,"B2",IF(M6&gt;=0.1,"B3",IF(M6&gt;=0.05,"B4","NA"))))))))</f>
        <v/>
      </c>
      <c r="D6" s="234">
        <f>VLOOKUP(B6,Tabelas!A:C,3,FALSE())</f>
        <v/>
      </c>
      <c r="E6" s="235">
        <f>VLOOKUP(B6,Tabelas!A:C,2,FALSE())</f>
        <v/>
      </c>
      <c r="G6" s="236" t="inlineStr">
        <is>
          <t>0013-5194</t>
        </is>
      </c>
      <c r="J6" s="150" t="inlineStr">
        <is>
          <t>A3</t>
        </is>
      </c>
      <c r="K6" s="235">
        <f>IF(H6&gt;1-1/8,"A1",IF(H6&gt;1-2/8,"A2",IF(H6&gt;1-3/8,"A3",IF(H6&gt;1/2,"A4",IF(H6&gt;1-5/8,"B1",IF(H6&gt;1-6/8,"B2",IF(H6&gt;1-7/8,"B3",IF(H6&gt;0,"B4","NA"))))))))</f>
        <v/>
      </c>
      <c r="L6" s="213">
        <f>IF(I6&gt;1-1/8,"A1",IF(I6&gt;1-2/8,"A2",IF(I6&gt;1-3/8,"A3",IF(I6&gt;1/2,"A4",IF(I6&gt;1-5/8,"B1",IF(I6&gt;1-6/8,"B2",IF(I6&gt;1-7/8,"B3",IF(I6&gt;0,"B4","NA"))))))))</f>
        <v/>
      </c>
      <c r="M6" s="237">
        <f>MAX(VLOOKUP(L6,Tabelas!A:C,2,FALSE()),VLOOKUP(J6,Tabelas!A:C,2,FALSE()),VLOOKUP(J6,Tabelas!A:C,2,FALSE()))</f>
        <v/>
      </c>
    </row>
    <row r="7" ht="15.75" customHeight="1" s="144">
      <c r="A7" s="228" t="inlineStr">
        <is>
          <t>Security and Communication Networks.</t>
        </is>
      </c>
      <c r="B7" s="213">
        <f>IF(M7&gt;1-1/8,"A1",IF(M7&gt;1-2/8,"A2",IF(M7&gt;1-3/8,"A3",IF(M7&gt;1/2,"A4",IF(M7&gt;1-5/8,"B1",IF(M7&gt;=0.2,"B2",IF(M7&gt;=0.1,"B3",IF(M7&gt;=0.05,"B4","NA"))))))))</f>
        <v/>
      </c>
      <c r="D7" s="234">
        <f>VLOOKUP(B7,Tabelas!A:C,3,FALSE())</f>
        <v/>
      </c>
      <c r="E7" s="235">
        <f>VLOOKUP(B7,Tabelas!A:C,2,FALSE())</f>
        <v/>
      </c>
      <c r="G7" s="236" t="inlineStr">
        <is>
          <t>1939-0114</t>
        </is>
      </c>
      <c r="J7" s="150" t="inlineStr">
        <is>
          <t>NI</t>
        </is>
      </c>
      <c r="K7" s="235">
        <f>IF(H7&gt;1-1/8,"A1",IF(H7&gt;1-2/8,"A2",IF(H7&gt;1-3/8,"A3",IF(H7&gt;1/2,"A4",IF(H7&gt;1-5/8,"B1",IF(H7&gt;1-6/8,"B2",IF(H7&gt;1-7/8,"B3",IF(H7&gt;0,"B4","NA"))))))))</f>
        <v/>
      </c>
      <c r="L7" s="213">
        <f>IF(I7&gt;1-1/8,"A1",IF(I7&gt;1-2/8,"A2",IF(I7&gt;1-3/8,"A3",IF(I7&gt;1/2,"A4",IF(I7&gt;1-5/8,"B1",IF(I7&gt;1-6/8,"B2",IF(I7&gt;1-7/8,"B3",IF(I7&gt;0,"B4","NA"))))))))</f>
        <v/>
      </c>
      <c r="M7" s="237">
        <f>MAX(VLOOKUP(L7,Tabelas!A:C,2,FALSE()),VLOOKUP(J7,Tabelas!A:C,2,FALSE()),VLOOKUP(J7,Tabelas!A:C,2,FALSE()))</f>
        <v/>
      </c>
    </row>
    <row r="8" ht="15.75" customHeight="1" s="144">
      <c r="A8" s="228" t="inlineStr">
        <is>
          <t>KNOWLEDGE-BASED SYSTEMS.</t>
        </is>
      </c>
      <c r="B8" s="213">
        <f>IF(M8&gt;1-1/8,"A1",IF(M8&gt;1-2/8,"A2",IF(M8&gt;1-3/8,"A3",IF(M8&gt;1/2,"A4",IF(M8&gt;1-5/8,"B1",IF(M8&gt;=0.2,"B2",IF(M8&gt;=0.1,"B3",IF(M8&gt;=0.05,"B4","NA"))))))))</f>
        <v/>
      </c>
      <c r="D8" s="234">
        <f>VLOOKUP(B8,Tabelas!A:C,3,FALSE())</f>
        <v/>
      </c>
      <c r="E8" s="235">
        <f>VLOOKUP(B8,Tabelas!A:C,2,FALSE())</f>
        <v/>
      </c>
      <c r="G8" s="236" t="inlineStr">
        <is>
          <t>0950-7051</t>
        </is>
      </c>
      <c r="J8" s="150" t="inlineStr">
        <is>
          <t>A1</t>
        </is>
      </c>
      <c r="K8" s="235">
        <f>IF(H8&gt;1-1/8,"A1",IF(H8&gt;1-2/8,"A2",IF(H8&gt;1-3/8,"A3",IF(H8&gt;1/2,"A4",IF(H8&gt;1-5/8,"B1",IF(H8&gt;1-6/8,"B2",IF(H8&gt;1-7/8,"B3",IF(H8&gt;0,"B4","NA"))))))))</f>
        <v/>
      </c>
      <c r="L8" s="213">
        <f>IF(I8&gt;1-1/8,"A1",IF(I8&gt;1-2/8,"A2",IF(I8&gt;1-3/8,"A3",IF(I8&gt;1/2,"A4",IF(I8&gt;1-5/8,"B1",IF(I8&gt;1-6/8,"B2",IF(I8&gt;1-7/8,"B3",IF(I8&gt;0,"B4","NA"))))))))</f>
        <v/>
      </c>
      <c r="M8" s="237">
        <f>MAX(VLOOKUP(L8,Tabelas!A:C,2,FALSE()),VLOOKUP(J8,Tabelas!A:C,2,FALSE()),VLOOKUP(J8,Tabelas!A:C,2,FALSE()))</f>
        <v/>
      </c>
    </row>
    <row r="9" ht="15.75" customHeight="1" s="144">
      <c r="A9" s="175" t="inlineStr">
        <is>
          <t>COMPUTER METHODS AND PROGRAMS IN BIOMEDICINE.</t>
        </is>
      </c>
      <c r="B9" s="213">
        <f>IF(M9&gt;1-1/8,"A1",IF(M9&gt;1-2/8,"A2",IF(M9&gt;1-3/8,"A3",IF(M9&gt;1/2,"A4",IF(M9&gt;1-5/8,"B1",IF(M9&gt;=0.2,"B2",IF(M9&gt;=0.1,"B3",IF(M9&gt;=0.05,"B4","NA"))))))))</f>
        <v/>
      </c>
      <c r="D9" s="234">
        <f>VLOOKUP(B9,Tabelas!A:C,3,FALSE())</f>
        <v/>
      </c>
      <c r="E9" s="235">
        <f>VLOOKUP(B9,Tabelas!A:C,2,FALSE())</f>
        <v/>
      </c>
      <c r="G9" s="236" t="inlineStr">
        <is>
          <t>0169-2607</t>
        </is>
      </c>
      <c r="J9" s="150" t="inlineStr">
        <is>
          <t>A1</t>
        </is>
      </c>
      <c r="K9" s="235">
        <f>IF(H9&gt;1-1/8,"A1",IF(H9&gt;1-2/8,"A2",IF(H9&gt;1-3/8,"A3",IF(H9&gt;1/2,"A4",IF(H9&gt;1-5/8,"B1",IF(H9&gt;1-6/8,"B2",IF(H9&gt;1-7/8,"B3",IF(H9&gt;0,"B4","NA"))))))))</f>
        <v/>
      </c>
      <c r="L9" s="213">
        <f>IF(I9&gt;1-1/8,"A1",IF(I9&gt;1-2/8,"A2",IF(I9&gt;1-3/8,"A3",IF(I9&gt;1/2,"A4",IF(I9&gt;1-5/8,"B1",IF(I9&gt;1-6/8,"B2",IF(I9&gt;1-7/8,"B3",IF(I9&gt;0,"B4","NA"))))))))</f>
        <v/>
      </c>
      <c r="M9" s="237">
        <f>MAX(VLOOKUP(L9,Tabelas!A:C,2,FALSE()),VLOOKUP(J9,Tabelas!A:C,2,FALSE()),VLOOKUP(J9,Tabelas!A:C,2,FALSE()))</f>
        <v/>
      </c>
    </row>
  </sheetData>
  <autoFilter ref="A1:M1">
    <sortState ref="A2:M1">
      <sortCondition ref="A2:A1" customList=""/>
    </sortState>
  </autoFilter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  <legacyDrawing r:id="anysvml"/>
</worksheet>
</file>

<file path=xl/worksheets/sheet8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I2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H12" activeCellId="0" sqref="H12"/>
    </sheetView>
  </sheetViews>
  <sheetFormatPr baseColWidth="8" defaultColWidth="11.00390625" defaultRowHeight="15.75" zeroHeight="0" outlineLevelRow="0"/>
  <cols>
    <col width="11" customWidth="1" style="240" min="2" max="2"/>
    <col width="11" customWidth="1" style="229" min="3" max="3"/>
    <col width="11" customWidth="1" style="240" min="5" max="5"/>
  </cols>
  <sheetData>
    <row r="1" ht="15.75" customHeight="1" s="144">
      <c r="A1" s="175" t="inlineStr">
        <is>
          <t>Qualis</t>
        </is>
      </c>
      <c r="B1" s="240" t="inlineStr">
        <is>
          <t>Ponto</t>
        </is>
      </c>
      <c r="C1" s="229" t="inlineStr">
        <is>
          <t>Restrito</t>
        </is>
      </c>
    </row>
    <row r="2" ht="15.75" customHeight="1" s="144">
      <c r="A2" s="175" t="inlineStr">
        <is>
          <t>A1</t>
        </is>
      </c>
      <c r="B2" s="240" t="n">
        <v>1</v>
      </c>
      <c r="C2" s="229" t="n">
        <v>1</v>
      </c>
      <c r="D2" s="175" t="n">
        <v>0</v>
      </c>
      <c r="E2" s="240">
        <f>1-D2/8</f>
        <v/>
      </c>
    </row>
    <row r="3" ht="15.75" customHeight="1" s="144">
      <c r="A3" s="175" t="inlineStr">
        <is>
          <t>A2</t>
        </is>
      </c>
      <c r="B3" s="240" t="n">
        <v>0.875</v>
      </c>
      <c r="C3" s="229" t="n">
        <v>1</v>
      </c>
      <c r="D3" s="175" t="n">
        <v>1</v>
      </c>
      <c r="E3" s="240">
        <f>1-D3/8</f>
        <v/>
      </c>
    </row>
    <row r="4" ht="15.75" customHeight="1" s="144">
      <c r="A4" s="175" t="inlineStr">
        <is>
          <t>A3</t>
        </is>
      </c>
      <c r="B4" s="240" t="n">
        <v>0.75</v>
      </c>
      <c r="C4" s="229" t="n">
        <v>1</v>
      </c>
      <c r="D4" s="175" t="n">
        <v>2</v>
      </c>
      <c r="E4" s="240">
        <f>1-D4/8</f>
        <v/>
      </c>
    </row>
    <row r="5" ht="15.75" customHeight="1" s="144">
      <c r="A5" s="175" t="inlineStr">
        <is>
          <t>A4</t>
        </is>
      </c>
      <c r="B5" s="240" t="n">
        <v>0.625</v>
      </c>
      <c r="C5" s="229" t="n">
        <v>1</v>
      </c>
      <c r="D5" s="175" t="n">
        <v>3</v>
      </c>
      <c r="E5" s="240">
        <f>1-D5/8</f>
        <v/>
      </c>
    </row>
    <row r="6" ht="15.75" customHeight="1" s="144">
      <c r="A6" s="175" t="inlineStr">
        <is>
          <t>B1</t>
        </is>
      </c>
      <c r="B6" s="240" t="n">
        <v>0.5</v>
      </c>
      <c r="C6" s="229" t="n">
        <v>0</v>
      </c>
      <c r="D6" s="175" t="n">
        <v>4</v>
      </c>
      <c r="E6" s="240">
        <f>1-D6/8</f>
        <v/>
      </c>
    </row>
    <row r="7" ht="15.75" customHeight="1" s="144">
      <c r="A7" s="175" t="inlineStr">
        <is>
          <t>B2</t>
        </is>
      </c>
      <c r="B7" s="240" t="n">
        <v>0.2</v>
      </c>
      <c r="C7" s="229" t="n">
        <v>0</v>
      </c>
      <c r="D7" s="175" t="n">
        <v>5</v>
      </c>
      <c r="E7" s="240" t="n">
        <v>0.2</v>
      </c>
    </row>
    <row r="8" ht="15.75" customHeight="1" s="144">
      <c r="A8" s="175" t="inlineStr">
        <is>
          <t>B3</t>
        </is>
      </c>
      <c r="B8" s="240" t="n">
        <v>0.1</v>
      </c>
      <c r="C8" s="229" t="n">
        <v>0</v>
      </c>
      <c r="D8" s="175" t="n">
        <v>6</v>
      </c>
      <c r="E8" s="240" t="n">
        <v>0.1</v>
      </c>
    </row>
    <row r="9" ht="15.75" customHeight="1" s="144">
      <c r="A9" s="175" t="inlineStr">
        <is>
          <t>B4</t>
        </is>
      </c>
      <c r="B9" s="240" t="n">
        <v>0.05</v>
      </c>
      <c r="C9" s="229" t="n">
        <v>0</v>
      </c>
      <c r="D9" s="175" t="n">
        <v>7</v>
      </c>
      <c r="E9" s="240" t="n">
        <v>0.05</v>
      </c>
    </row>
    <row r="10" ht="15.75" customHeight="1" s="144">
      <c r="A10" s="175" t="inlineStr">
        <is>
          <t>B5</t>
        </is>
      </c>
      <c r="B10" s="240" t="n">
        <v>0</v>
      </c>
      <c r="C10" s="229" t="n">
        <v>0</v>
      </c>
      <c r="D10" s="175" t="n">
        <v>8</v>
      </c>
      <c r="E10" s="240" t="n">
        <v>0</v>
      </c>
    </row>
    <row r="11" ht="15.75" customHeight="1" s="144">
      <c r="A11" s="175" t="inlineStr">
        <is>
          <t>C</t>
        </is>
      </c>
      <c r="B11" s="240" t="n">
        <v>0</v>
      </c>
      <c r="C11" s="229" t="n">
        <v>0</v>
      </c>
      <c r="D11" s="175" t="n">
        <v>9</v>
      </c>
      <c r="E11" s="240" t="n">
        <v>0</v>
      </c>
    </row>
    <row r="12" ht="15.75" customHeight="1" s="144">
      <c r="A12" s="175" t="inlineStr">
        <is>
          <t>NA</t>
        </is>
      </c>
      <c r="B12" s="240" t="n">
        <v>0</v>
      </c>
      <c r="C12" s="229" t="n">
        <v>0</v>
      </c>
      <c r="D12" s="175" t="n">
        <v>10</v>
      </c>
      <c r="E12" s="240" t="n">
        <v>0</v>
      </c>
    </row>
    <row r="13" ht="15.75" customHeight="1" s="144">
      <c r="A13" s="175" t="inlineStr">
        <is>
          <t>NI</t>
        </is>
      </c>
      <c r="B13" s="240" t="n">
        <v>0</v>
      </c>
      <c r="C13" s="229" t="n">
        <v>0</v>
      </c>
      <c r="D13" s="175" t="n">
        <v>11</v>
      </c>
      <c r="E13" s="240" t="n">
        <v>0</v>
      </c>
    </row>
    <row r="20" ht="15.75" customHeight="1" s="144">
      <c r="I20" s="175">
        <f>VLOOKUP("NI",Tabelas!A:C,2,FALSE())</f>
        <v/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  <legacyDrawing r:id="anysvml"/>
</worksheet>
</file>

<file path=xl/worksheets/sheet9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B1:Z4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11" activeCellId="0" sqref="E11"/>
    </sheetView>
  </sheetViews>
  <sheetFormatPr baseColWidth="8" defaultColWidth="8.87890625" defaultRowHeight="15.75" zeroHeight="0" outlineLevelRow="0"/>
  <cols>
    <col width="1.62" customWidth="1" style="175" min="1" max="1"/>
    <col width="24.12" customWidth="1" style="241" min="2" max="2"/>
    <col width="10.12" customWidth="1" style="241" min="3" max="3"/>
    <col width="9.119999999999999" customWidth="1" style="241" min="4" max="4"/>
    <col width="9" customWidth="1" style="241" min="5" max="6"/>
    <col width="9.119999999999999" customWidth="1" style="241" min="7" max="7"/>
    <col width="9" customWidth="1" style="241" min="8" max="10"/>
    <col width="1.62" customWidth="1" style="175" min="11" max="11"/>
    <col width="34" customWidth="1" style="175" min="12" max="12"/>
    <col width="13.62" customWidth="1" style="175" min="13" max="13"/>
    <col width="13.62" customWidth="1" style="242" min="14" max="14"/>
    <col width="1.62" customWidth="1" style="175" min="15" max="15"/>
    <col width="34" customWidth="1" style="175" min="16" max="16"/>
    <col width="13.62" customWidth="1" style="175" min="17" max="17"/>
    <col width="13.62" customWidth="1" style="242" min="18" max="18"/>
    <col width="1.62" customWidth="1" style="175" min="19" max="19"/>
    <col width="40.12" customWidth="1" style="175" min="20" max="20"/>
    <col width="13.62" customWidth="1" style="175" min="21" max="21"/>
    <col width="13.62" customWidth="1" style="242" min="22" max="22"/>
    <col width="1.62" customWidth="1" style="175" min="23" max="23"/>
    <col width="40.12" customWidth="1" style="175" min="24" max="24"/>
    <col width="13.62" customWidth="1" style="175" min="25" max="25"/>
    <col width="13.62" customWidth="1" style="242" min="26" max="26"/>
    <col width="1.62" customWidth="1" style="175" min="27" max="27"/>
  </cols>
  <sheetData>
    <row r="1" ht="15.75" customHeight="1" s="144">
      <c r="L1" s="175" t="inlineStr">
        <is>
          <t>Periódicos - Geral</t>
        </is>
      </c>
      <c r="P1" s="175" t="inlineStr">
        <is>
          <t>Periódicos - Restrito</t>
        </is>
      </c>
      <c r="T1" s="175" t="inlineStr">
        <is>
          <t>Conferências - Geral</t>
        </is>
      </c>
      <c r="X1" s="175" t="inlineStr">
        <is>
          <t>Conferências - Restrito</t>
        </is>
      </c>
    </row>
    <row r="2" ht="15.75" customHeight="1" s="144">
      <c r="B2" s="243" t="inlineStr">
        <is>
          <t>Fluxo discentes</t>
        </is>
      </c>
      <c r="C2" s="244" t="inlineStr">
        <is>
          <t>2017</t>
        </is>
      </c>
      <c r="D2" s="244" t="inlineStr">
        <is>
          <t>2018</t>
        </is>
      </c>
      <c r="E2" s="244" t="inlineStr">
        <is>
          <t>2019</t>
        </is>
      </c>
      <c r="F2" s="244" t="inlineStr">
        <is>
          <t>2020</t>
        </is>
      </c>
      <c r="G2" s="244" t="inlineStr">
        <is>
          <t>Total</t>
        </is>
      </c>
      <c r="L2" s="175" t="inlineStr">
        <is>
          <t>Restrito</t>
        </is>
      </c>
      <c r="M2" s="175" t="inlineStr">
        <is>
          <t>(All)</t>
        </is>
      </c>
      <c r="P2" s="175" t="inlineStr">
        <is>
          <t>Restrito</t>
        </is>
      </c>
      <c r="Q2" s="245" t="n">
        <v>1</v>
      </c>
      <c r="T2" s="175" t="inlineStr">
        <is>
          <t>Restrito</t>
        </is>
      </c>
      <c r="U2" s="175" t="inlineStr">
        <is>
          <t>(All)</t>
        </is>
      </c>
      <c r="X2" s="175" t="inlineStr">
        <is>
          <t>Restrito</t>
        </is>
      </c>
      <c r="Y2" s="245" t="n">
        <v>1</v>
      </c>
    </row>
    <row r="3" ht="15.75" customHeight="1" s="144">
      <c r="B3" s="246" t="inlineStr">
        <is>
          <t>Matriculados</t>
        </is>
      </c>
      <c r="C3" s="246" t="n">
        <v>24</v>
      </c>
      <c r="D3" s="246" t="n">
        <v>43</v>
      </c>
      <c r="E3" s="246" t="n">
        <v>50</v>
      </c>
      <c r="F3" s="246" t="n">
        <v>57</v>
      </c>
      <c r="G3" s="246">
        <f>F3</f>
        <v/>
      </c>
    </row>
    <row r="4" ht="15.75" customHeight="1" s="144">
      <c r="B4" s="247" t="inlineStr">
        <is>
          <t>Titulados</t>
        </is>
      </c>
      <c r="C4" s="248" t="n">
        <v>0</v>
      </c>
      <c r="D4" s="248" t="n">
        <v>3</v>
      </c>
      <c r="E4" s="248" t="n">
        <v>11</v>
      </c>
      <c r="F4" s="248" t="n">
        <v>20</v>
      </c>
      <c r="G4" s="248">
        <f>SUM(C4:F4)</f>
        <v/>
      </c>
      <c r="L4" s="175" t="inlineStr">
        <is>
          <t>Row Labels</t>
        </is>
      </c>
      <c r="M4" s="175" t="inlineStr">
        <is>
          <t>Count of Qualis</t>
        </is>
      </c>
      <c r="N4" s="249" t="inlineStr">
        <is>
          <t>Qtd Per</t>
        </is>
      </c>
      <c r="P4" s="175" t="inlineStr">
        <is>
          <t>Row Labels</t>
        </is>
      </c>
      <c r="Q4" s="175" t="inlineStr">
        <is>
          <t>Count of Qualis</t>
        </is>
      </c>
      <c r="R4" s="249" t="inlineStr">
        <is>
          <t>Qtd Per Rest</t>
        </is>
      </c>
      <c r="T4" s="175" t="inlineStr">
        <is>
          <t>Row Labels</t>
        </is>
      </c>
      <c r="U4" s="175" t="inlineStr">
        <is>
          <t>Count of Qualis</t>
        </is>
      </c>
      <c r="V4" s="249" t="inlineStr">
        <is>
          <t>Qtd Conf</t>
        </is>
      </c>
      <c r="X4" s="175" t="inlineStr">
        <is>
          <t>Row Labels</t>
        </is>
      </c>
      <c r="Y4" s="175" t="inlineStr">
        <is>
          <t>Count of Qualis</t>
        </is>
      </c>
      <c r="Z4" s="249" t="inlineStr">
        <is>
          <t>Qtd Conf Rest</t>
        </is>
      </c>
    </row>
    <row r="5" ht="15.75" customHeight="1" s="144">
      <c r="B5" s="250" t="inlineStr">
        <is>
          <t>Total Discentes</t>
        </is>
      </c>
      <c r="C5" s="250">
        <f>C3+C4</f>
        <v/>
      </c>
      <c r="D5" s="250">
        <f>D3+D4</f>
        <v/>
      </c>
      <c r="E5" s="250">
        <f>E3+E4</f>
        <v/>
      </c>
      <c r="F5" s="250">
        <f>F3+F4</f>
        <v/>
      </c>
      <c r="G5" s="250">
        <f>G3+G4</f>
        <v/>
      </c>
      <c r="L5" s="245" t="inlineStr">
        <is>
          <t>DANIELLE FONTES DE ALBUQUERQUE</t>
        </is>
      </c>
      <c r="M5" s="175" t="n">
        <v>1</v>
      </c>
      <c r="N5" s="242">
        <f>IF(ISNA(VLOOKUP(L5,T:T,1,FALSE())),1,0.5)</f>
        <v/>
      </c>
      <c r="P5" s="245" t="inlineStr">
        <is>
          <t>DANIELLE FONTES DE ALBUQUERQUE</t>
        </is>
      </c>
      <c r="Q5" s="175" t="n">
        <v>1</v>
      </c>
      <c r="R5" s="242">
        <f>IF(ISNA(VLOOKUP(P5,X:X,1,FALSE())),1,0.5)</f>
        <v/>
      </c>
      <c r="T5" s="245" t="inlineStr">
        <is>
          <t>ADALBERTO MINEIRO DE ANDRADE</t>
        </is>
      </c>
      <c r="U5" s="175" t="n">
        <v>1</v>
      </c>
      <c r="V5" s="242">
        <f>IF(ISNA(VLOOKUP(T5,L:L,1,FALSE())),1,0.5)</f>
        <v/>
      </c>
      <c r="X5" s="245" t="inlineStr">
        <is>
          <t>ALAN RODRIGUES FONTOURA</t>
        </is>
      </c>
      <c r="Y5" s="175" t="n">
        <v>1</v>
      </c>
      <c r="Z5" s="242">
        <f>IF(ISNA(VLOOKUP(X5,P:P,1,FALSE())),1,0.5)</f>
        <v/>
      </c>
    </row>
    <row r="6" ht="15.75" customHeight="1" s="144">
      <c r="L6" s="245" t="inlineStr">
        <is>
          <t>GUSTAVO ALEXANDRE SOUSA SANTOS</t>
        </is>
      </c>
      <c r="M6" s="175" t="n">
        <v>1</v>
      </c>
      <c r="N6" s="242">
        <f>IF(ISNA(VLOOKUP(L6,T:T,1,FALSE())),1,0.5)</f>
        <v/>
      </c>
      <c r="P6" s="245" t="inlineStr">
        <is>
          <t>GUSTAVO ALEXANDRE SOUSA SANTOS</t>
        </is>
      </c>
      <c r="Q6" s="175" t="n">
        <v>1</v>
      </c>
      <c r="R6" s="242">
        <f>IF(ISNA(VLOOKUP(P6,X:X,1,FALSE())),1,0.5)</f>
        <v/>
      </c>
      <c r="T6" s="245" t="inlineStr">
        <is>
          <t>AÍQUES RODRIGUES GOMES</t>
        </is>
      </c>
      <c r="U6" s="175" t="n">
        <v>1</v>
      </c>
      <c r="V6" s="242">
        <f>IF(ISNA(VLOOKUP(T6,L:L,1,FALSE())),1,0.5)</f>
        <v/>
      </c>
      <c r="X6" s="245" t="inlineStr">
        <is>
          <t>ARTHUR RONALD FERREIRA DIOGENES GARCIA</t>
        </is>
      </c>
      <c r="Y6" s="175" t="n">
        <v>1</v>
      </c>
      <c r="Z6" s="242">
        <f>IF(ISNA(VLOOKUP(X6,P:P,1,FALSE())),1,0.5)</f>
        <v/>
      </c>
    </row>
    <row r="7" ht="15.75" customHeight="1" s="144">
      <c r="B7" s="251" t="inlineStr">
        <is>
          <t>Produção Discente</t>
        </is>
      </c>
      <c r="C7" s="252" t="inlineStr">
        <is>
          <t>Total</t>
        </is>
      </c>
      <c r="L7" s="245" t="inlineStr">
        <is>
          <t>JEFERSON COLARES DE PAULA</t>
        </is>
      </c>
      <c r="M7" s="175" t="n">
        <v>3</v>
      </c>
      <c r="N7" s="242">
        <f>IF(ISNA(VLOOKUP(L7,T:T,1,FALSE())),1,0.5)</f>
        <v/>
      </c>
      <c r="P7" s="245" t="inlineStr">
        <is>
          <t>JEFERSON COLARES DE PAULA</t>
        </is>
      </c>
      <c r="Q7" s="175" t="n">
        <v>1</v>
      </c>
      <c r="R7" s="242">
        <f>IF(ISNA(VLOOKUP(P7,X:X,1,FALSE())),1,0.5)</f>
        <v/>
      </c>
      <c r="T7" s="245" t="inlineStr">
        <is>
          <t>ALAN RODRIGUES FONTOURA</t>
        </is>
      </c>
      <c r="U7" s="175" t="n">
        <v>1</v>
      </c>
      <c r="V7" s="242">
        <f>IF(ISNA(VLOOKUP(T7,L:L,1,FALSE())),1,0.5)</f>
        <v/>
      </c>
      <c r="X7" s="245" t="inlineStr">
        <is>
          <t>DANIEL FERREIRA DE OLIVEIRA</t>
        </is>
      </c>
      <c r="Y7" s="175" t="n">
        <v>1</v>
      </c>
      <c r="Z7" s="242">
        <f>IF(ISNA(VLOOKUP(X7,P:P,1,FALSE())),1,0.5)</f>
        <v/>
      </c>
    </row>
    <row r="8" ht="15.75" customHeight="1" s="144">
      <c r="B8" s="253" t="inlineStr">
        <is>
          <t>Matriculados</t>
        </is>
      </c>
      <c r="C8" s="254">
        <f>G3</f>
        <v/>
      </c>
      <c r="L8" s="245" t="inlineStr">
        <is>
          <t>JOMAR FERREIRA MONSORES</t>
        </is>
      </c>
      <c r="M8" s="175" t="n">
        <v>1</v>
      </c>
      <c r="N8" s="242">
        <f>IF(ISNA(VLOOKUP(L8,T:T,1,FALSE())),1,0.5)</f>
        <v/>
      </c>
      <c r="P8" s="245" t="inlineStr">
        <is>
          <t>JOMAR FERREIRA MONSORES</t>
        </is>
      </c>
      <c r="Q8" s="175" t="n">
        <v>1</v>
      </c>
      <c r="R8" s="242">
        <f>IF(ISNA(VLOOKUP(P8,X:X,1,FALSE())),1,0.5)</f>
        <v/>
      </c>
      <c r="T8" s="245" t="inlineStr">
        <is>
          <t>ALEXANDRE MARTINS DA CUNHA</t>
        </is>
      </c>
      <c r="U8" s="175" t="n">
        <v>3</v>
      </c>
      <c r="V8" s="242">
        <f>IF(ISNA(VLOOKUP(T8,L:L,1,FALSE())),1,0.5)</f>
        <v/>
      </c>
      <c r="X8" s="245" t="inlineStr">
        <is>
          <t>ELLEN PAIXÃO SILVA</t>
        </is>
      </c>
      <c r="Y8" s="175" t="n">
        <v>1</v>
      </c>
      <c r="Z8" s="242">
        <f>IF(ISNA(VLOOKUP(X8,P:P,1,FALSE())),1,0.5)</f>
        <v/>
      </c>
    </row>
    <row r="9" ht="15.75" customHeight="1" s="144">
      <c r="B9" s="247" t="inlineStr">
        <is>
          <t>Titulados</t>
        </is>
      </c>
      <c r="C9" s="248">
        <f>G4</f>
        <v/>
      </c>
      <c r="L9" s="245" t="inlineStr">
        <is>
          <t>LEANDRO MAIA GONÇALVES</t>
        </is>
      </c>
      <c r="M9" s="175" t="n">
        <v>1</v>
      </c>
      <c r="N9" s="242">
        <f>IF(ISNA(VLOOKUP(L9,T:T,1,FALSE())),1,0.5)</f>
        <v/>
      </c>
      <c r="P9" s="245" t="inlineStr">
        <is>
          <t>LEANDRO MAIA GONÇALVES</t>
        </is>
      </c>
      <c r="Q9" s="175" t="n">
        <v>1</v>
      </c>
      <c r="R9" s="242">
        <f>IF(ISNA(VLOOKUP(P9,X:X,1,FALSE())),1,0.5)</f>
        <v/>
      </c>
      <c r="T9" s="245" t="inlineStr">
        <is>
          <t>ANTONIO JOSE DE CASTRO FILHO</t>
        </is>
      </c>
      <c r="U9" s="175" t="n">
        <v>1</v>
      </c>
      <c r="V9" s="242">
        <f>IF(ISNA(VLOOKUP(T9,L:L,1,FALSE())),1,0.5)</f>
        <v/>
      </c>
      <c r="X9" s="245" t="inlineStr">
        <is>
          <t>FLAVIO MATIAS DAMASCENO DE CARVALHO</t>
        </is>
      </c>
      <c r="Y9" s="175" t="n">
        <v>2</v>
      </c>
      <c r="Z9" s="242">
        <f>IF(ISNA(VLOOKUP(X9,P:P,1,FALSE())),1,0.5)</f>
        <v/>
      </c>
    </row>
    <row r="10" ht="15.75" customHeight="1" s="144">
      <c r="B10" s="253" t="inlineStr">
        <is>
          <t>Total Discentes</t>
        </is>
      </c>
      <c r="C10" s="254">
        <f>G5</f>
        <v/>
      </c>
      <c r="L10" s="245" t="inlineStr">
        <is>
          <t>LEONARDO FERREIRA DOS SANTOS</t>
        </is>
      </c>
      <c r="M10" s="175" t="n">
        <v>1</v>
      </c>
      <c r="N10" s="242">
        <f>IF(ISNA(VLOOKUP(L10,T:T,1,FALSE())),1,0.5)</f>
        <v/>
      </c>
      <c r="P10" s="245" t="inlineStr">
        <is>
          <t>RAFAEL GUIMARÃES RODRIGUES</t>
        </is>
      </c>
      <c r="Q10" s="175" t="n">
        <v>1</v>
      </c>
      <c r="R10" s="242">
        <f>IF(ISNA(VLOOKUP(P10,X:X,1,FALSE())),1,0.5)</f>
        <v/>
      </c>
      <c r="T10" s="245" t="inlineStr">
        <is>
          <t>ARTHUR RONALD FERREIRA DIOGENES GARCIA</t>
        </is>
      </c>
      <c r="U10" s="175" t="n">
        <v>1</v>
      </c>
      <c r="V10" s="242">
        <f>IF(ISNA(VLOOKUP(T10,L:L,1,FALSE())),1,0.5)</f>
        <v/>
      </c>
      <c r="X10" s="245" t="inlineStr">
        <is>
          <t>GABRIEL NASCIMENTO DO SANTOS</t>
        </is>
      </c>
      <c r="Y10" s="175" t="n">
        <v>1</v>
      </c>
      <c r="Z10" s="242">
        <f>IF(ISNA(VLOOKUP(X10,P:P,1,FALSE())),1,0.5)</f>
        <v/>
      </c>
    </row>
    <row r="11" ht="15.75" customHeight="1" s="144">
      <c r="B11" s="247" t="inlineStr">
        <is>
          <t>Conferências (geral)</t>
        </is>
      </c>
      <c r="C11" s="247">
        <f>COUNT(U7:U102)</f>
        <v/>
      </c>
      <c r="L11" s="245" t="inlineStr">
        <is>
          <t>RAFAEL GUIMARÃES RODRIGUES</t>
        </is>
      </c>
      <c r="M11" s="175" t="n">
        <v>1</v>
      </c>
      <c r="N11" s="242">
        <f>IF(ISNA(VLOOKUP(L11,T:T,1,FALSE())),1,0.5)</f>
        <v/>
      </c>
      <c r="P11" s="245" t="inlineStr">
        <is>
          <t>RAFAELA DE CASTRO  DO NASCIMENTO</t>
        </is>
      </c>
      <c r="Q11" s="175" t="n">
        <v>1</v>
      </c>
      <c r="R11" s="242">
        <f>IF(ISNA(VLOOKUP(P11,X:X,1,FALSE())),1,0.5)</f>
        <v/>
      </c>
      <c r="T11" s="245" t="inlineStr">
        <is>
          <t>CARLOS ALBERTO MARTINS DE SOUZA TELES</t>
        </is>
      </c>
      <c r="U11" s="175" t="n">
        <v>4</v>
      </c>
      <c r="V11" s="242">
        <f>IF(ISNA(VLOOKUP(T11,L:L,1,FALSE())),1,0.5)</f>
        <v/>
      </c>
      <c r="X11" s="245" t="inlineStr">
        <is>
          <t>GUSTAVO ALEXANDRE SOUSA SANTOS</t>
        </is>
      </c>
      <c r="Y11" s="175" t="n">
        <v>1</v>
      </c>
      <c r="Z11" s="242">
        <f>IF(ISNA(VLOOKUP(X11,P:P,1,FALSE())),1,0.5)</f>
        <v/>
      </c>
    </row>
    <row r="12" ht="15.75" customHeight="1" s="144">
      <c r="B12" s="253" t="inlineStr">
        <is>
          <t>Conferências (restrito)</t>
        </is>
      </c>
      <c r="C12" s="253">
        <f>COUNT(Y5:Y100)</f>
        <v/>
      </c>
      <c r="L12" s="245" t="inlineStr">
        <is>
          <t>RAFAELA DE CASTRO  DO NASCIMENTO</t>
        </is>
      </c>
      <c r="M12" s="175" t="n">
        <v>1</v>
      </c>
      <c r="N12" s="242">
        <f>IF(ISNA(VLOOKUP(L12,T:T,1,FALSE())),1,0.5)</f>
        <v/>
      </c>
      <c r="P12" s="245" t="inlineStr">
        <is>
          <t>RAPHAEL SILVA DE ABREU</t>
        </is>
      </c>
      <c r="Q12" s="175" t="n">
        <v>2</v>
      </c>
      <c r="R12" s="242">
        <f>IF(ISNA(VLOOKUP(P12,X:X,1,FALSE())),1,0.5)</f>
        <v/>
      </c>
      <c r="T12" s="245" t="inlineStr">
        <is>
          <t>CARLOS ROBERTO GONÇALVES VIANA FILHO</t>
        </is>
      </c>
      <c r="U12" s="175" t="n">
        <v>2</v>
      </c>
      <c r="V12" s="242">
        <f>IF(ISNA(VLOOKUP(T12,L:L,1,FALSE())),1,0.5)</f>
        <v/>
      </c>
      <c r="X12" s="245" t="inlineStr">
        <is>
          <t>HELDER YUKIO OKUNO</t>
        </is>
      </c>
      <c r="Y12" s="175" t="n">
        <v>1</v>
      </c>
      <c r="Z12" s="242">
        <f>IF(ISNA(VLOOKUP(X12,P:P,1,FALSE())),1,0.5)</f>
        <v/>
      </c>
    </row>
    <row r="13" ht="15.75" customHeight="1" s="144">
      <c r="B13" s="247" t="inlineStr">
        <is>
          <t>Periódicos (geral)</t>
        </is>
      </c>
      <c r="C13" s="248">
        <f>COUNT(M5:M100)</f>
        <v/>
      </c>
      <c r="L13" s="245" t="inlineStr">
        <is>
          <t>RAPHAEL SILVA DE ABREU</t>
        </is>
      </c>
      <c r="M13" s="175" t="n">
        <v>2</v>
      </c>
      <c r="N13" s="242">
        <f>IF(ISNA(VLOOKUP(L13,T:T,1,FALSE())),1,0.5)</f>
        <v/>
      </c>
      <c r="P13" s="245" t="inlineStr">
        <is>
          <t>REBECCA PONTES SALLES</t>
        </is>
      </c>
      <c r="Q13" s="175" t="n">
        <v>2</v>
      </c>
      <c r="R13" s="242">
        <f>IF(ISNA(VLOOKUP(P13,X:X,1,FALSE())),1,0.5)</f>
        <v/>
      </c>
      <c r="T13" s="245" t="inlineStr">
        <is>
          <t>CEDRIC MONTEIRO</t>
        </is>
      </c>
      <c r="U13" s="175" t="n">
        <v>1</v>
      </c>
      <c r="V13" s="242">
        <f>IF(ISNA(VLOOKUP(T13,L:L,1,FALSE())),1,0.5)</f>
        <v/>
      </c>
      <c r="X13" s="245" t="inlineStr">
        <is>
          <t>IGOR DA SILVA MORAIS</t>
        </is>
      </c>
      <c r="Y13" s="175" t="n">
        <v>1</v>
      </c>
      <c r="Z13" s="242">
        <f>IF(ISNA(VLOOKUP(X13,P:P,1,FALSE())),1,0.5)</f>
        <v/>
      </c>
    </row>
    <row r="14" ht="15.75" customHeight="1" s="144">
      <c r="B14" s="253" t="inlineStr">
        <is>
          <t>Periódicos (restrito)</t>
        </is>
      </c>
      <c r="C14" s="254">
        <f>COUNT(Q5:Q100)</f>
        <v/>
      </c>
      <c r="L14" s="245" t="inlineStr">
        <is>
          <t>REBECCA PONTES SALLES</t>
        </is>
      </c>
      <c r="M14" s="175" t="n">
        <v>3</v>
      </c>
      <c r="N14" s="242">
        <f>IF(ISNA(VLOOKUP(L14,T:T,1,FALSE())),1,0.5)</f>
        <v/>
      </c>
      <c r="P14" s="245" t="inlineStr">
        <is>
          <t>THIAGO RANGEL PESSET GONZAGA</t>
        </is>
      </c>
      <c r="Q14" s="175" t="n">
        <v>1</v>
      </c>
      <c r="R14" s="242">
        <f>IF(ISNA(VLOOKUP(P14,X:X,1,FALSE())),1,0.5)</f>
        <v/>
      </c>
      <c r="T14" s="245" t="inlineStr">
        <is>
          <t>DANIEL FERREIRA DE OLIVEIRA</t>
        </is>
      </c>
      <c r="U14" s="175" t="n">
        <v>1</v>
      </c>
      <c r="V14" s="242">
        <f>IF(ISNA(VLOOKUP(T14,L:L,1,FALSE())),1,0.5)</f>
        <v/>
      </c>
      <c r="X14" s="245" t="inlineStr">
        <is>
          <t>JOÃO ANTONIO FERREIRA</t>
        </is>
      </c>
      <c r="Y14" s="175" t="n">
        <v>3</v>
      </c>
      <c r="Z14" s="242">
        <f>IF(ISNA(VLOOKUP(X14,P:P,1,FALSE())),1,0.5)</f>
        <v/>
      </c>
    </row>
    <row r="15" ht="15.75" customHeight="1" s="144">
      <c r="B15" s="247" t="inlineStr">
        <is>
          <t>Total (geral)</t>
        </is>
      </c>
      <c r="C15" s="248">
        <f>SUM(N5:N100)+SUM(V5:V100)</f>
        <v/>
      </c>
      <c r="L15" s="245" t="inlineStr">
        <is>
          <t>ROBERTO DE CASTRO SOUZA PINTO</t>
        </is>
      </c>
      <c r="M15" s="175" t="n">
        <v>1</v>
      </c>
      <c r="N15" s="242">
        <f>IF(ISNA(VLOOKUP(L15,T:T,1,FALSE())),1,0.5)</f>
        <v/>
      </c>
      <c r="T15" s="245" t="inlineStr">
        <is>
          <t>DIEGO RODRIGUES MOREIRA TOTTE</t>
        </is>
      </c>
      <c r="U15" s="175" t="n">
        <v>1</v>
      </c>
      <c r="V15" s="242">
        <f>IF(ISNA(VLOOKUP(T15,L:L,1,FALSE())),1,0.5)</f>
        <v/>
      </c>
      <c r="X15" s="245" t="inlineStr">
        <is>
          <t>JORGE AUGUSTO GOMES DE BRITO</t>
        </is>
      </c>
      <c r="Y15" s="175" t="n">
        <v>1</v>
      </c>
      <c r="Z15" s="242">
        <f>IF(ISNA(VLOOKUP(X15,P:P,1,FALSE())),1,0.5)</f>
        <v/>
      </c>
    </row>
    <row r="16" ht="15.75" customHeight="1" s="144">
      <c r="B16" s="253" t="inlineStr">
        <is>
          <t>Total (restrito)</t>
        </is>
      </c>
      <c r="C16" s="254">
        <f>SUM(R5:R100)+SUM(Z5:Z100)</f>
        <v/>
      </c>
      <c r="L16" s="245" t="inlineStr">
        <is>
          <t>THIAGO RANGEL PESSET GONZAGA</t>
        </is>
      </c>
      <c r="M16" s="175" t="n">
        <v>1</v>
      </c>
      <c r="N16" s="242">
        <f>IF(ISNA(VLOOKUP(L16,T:T,1,FALSE())),1,0.5)</f>
        <v/>
      </c>
      <c r="T16" s="245" t="inlineStr">
        <is>
          <t>ELLEN PAIXÃO SILVA</t>
        </is>
      </c>
      <c r="U16" s="175" t="n">
        <v>1</v>
      </c>
      <c r="V16" s="242">
        <f>IF(ISNA(VLOOKUP(T16,L:L,1,FALSE())),1,0.5)</f>
        <v/>
      </c>
      <c r="X16" s="245" t="inlineStr">
        <is>
          <t>LEONARDO DA SILVA MOREIRA</t>
        </is>
      </c>
      <c r="Y16" s="175" t="n">
        <v>1</v>
      </c>
      <c r="Z16" s="242">
        <f>IF(ISNA(VLOOKUP(X16,P:P,1,FALSE())),1,0.5)</f>
        <v/>
      </c>
    </row>
    <row r="17" ht="15.75" customHeight="1" s="144">
      <c r="B17" s="247" t="inlineStr">
        <is>
          <t>% (geral)</t>
        </is>
      </c>
      <c r="C17" s="255">
        <f>C15/C$10</f>
        <v/>
      </c>
      <c r="T17" s="245" t="inlineStr">
        <is>
          <t>FERNANDO PEREIRA GONÇALVES DE SÁ</t>
        </is>
      </c>
      <c r="U17" s="175" t="n">
        <v>2</v>
      </c>
      <c r="V17" s="242">
        <f>IF(ISNA(VLOOKUP(T17,L:L,1,FALSE())),1,0.5)</f>
        <v/>
      </c>
      <c r="X17" s="245" t="inlineStr">
        <is>
          <t>LEONARDO DE SOUZA PREUSS</t>
        </is>
      </c>
      <c r="Y17" s="175" t="n">
        <v>1</v>
      </c>
      <c r="Z17" s="242">
        <f>IF(ISNA(VLOOKUP(X17,P:P,1,FALSE())),1,0.5)</f>
        <v/>
      </c>
    </row>
    <row r="18" ht="15.75" customHeight="1" s="144">
      <c r="B18" s="250" t="inlineStr">
        <is>
          <t>% (restrito)</t>
        </is>
      </c>
      <c r="C18" s="256">
        <f>C16/C$10</f>
        <v/>
      </c>
      <c r="T18" s="245" t="inlineStr">
        <is>
          <t>FLAVIO MATIAS DAMASCENO DE CARVALHO</t>
        </is>
      </c>
      <c r="U18" s="175" t="n">
        <v>5</v>
      </c>
      <c r="V18" s="242">
        <f>IF(ISNA(VLOOKUP(T18,L:L,1,FALSE())),1,0.5)</f>
        <v/>
      </c>
      <c r="X18" s="245" t="inlineStr">
        <is>
          <t>LUCIANA ESCOBAR GONÇALVES VIGNOLI</t>
        </is>
      </c>
      <c r="Y18" s="175" t="n">
        <v>1</v>
      </c>
      <c r="Z18" s="242">
        <f>IF(ISNA(VLOOKUP(X18,P:P,1,FALSE())),1,0.5)</f>
        <v/>
      </c>
    </row>
    <row r="19" ht="15.75" customHeight="1" s="144">
      <c r="T19" s="245" t="inlineStr">
        <is>
          <t>FRANCIMARY PROCÓPIO GARCIA DE OLIVEIRA</t>
        </is>
      </c>
      <c r="U19" s="175" t="n">
        <v>2</v>
      </c>
      <c r="V19" s="242">
        <f>IF(ISNA(VLOOKUP(T19,L:L,1,FALSE())),1,0.5)</f>
        <v/>
      </c>
      <c r="X19" s="245" t="inlineStr">
        <is>
          <t>RAFAEL GUIMARÃES RODRIGUES</t>
        </is>
      </c>
      <c r="Y19" s="175" t="n">
        <v>3</v>
      </c>
      <c r="Z19" s="242">
        <f>IF(ISNA(VLOOKUP(X19,P:P,1,FALSE())),1,0.5)</f>
        <v/>
      </c>
    </row>
    <row r="20" ht="15.75" customHeight="1" s="144">
      <c r="B20" s="243" t="n"/>
      <c r="C20" s="243" t="inlineStr">
        <is>
          <t>PPCIC</t>
        </is>
      </c>
      <c r="D20" s="243" t="inlineStr">
        <is>
          <t>Nível 3</t>
        </is>
      </c>
      <c r="E20" s="243" t="inlineStr">
        <is>
          <t>Nível 4</t>
        </is>
      </c>
      <c r="F20" s="243" t="inlineStr">
        <is>
          <t>Nível 5</t>
        </is>
      </c>
      <c r="T20" s="245" t="inlineStr">
        <is>
          <t>GABRIEL NASCIMENTO DO SANTOS</t>
        </is>
      </c>
      <c r="U20" s="175" t="n">
        <v>4</v>
      </c>
      <c r="V20" s="242">
        <f>IF(ISNA(VLOOKUP(T20,L:L,1,FALSE())),1,0.5)</f>
        <v/>
      </c>
      <c r="X20" s="245" t="inlineStr">
        <is>
          <t>RAMON FERREIRA SILVA</t>
        </is>
      </c>
      <c r="Y20" s="175" t="n">
        <v>1</v>
      </c>
      <c r="Z20" s="242">
        <f>IF(ISNA(VLOOKUP(X20,P:P,1,FALSE())),1,0.5)</f>
        <v/>
      </c>
    </row>
    <row r="21" ht="15.75" customHeight="1" s="144">
      <c r="B21" s="246" t="inlineStr">
        <is>
          <t xml:space="preserve">% Produção com Discentes (IG) </t>
        </is>
      </c>
      <c r="C21" s="257" t="n">
        <v>0.46</v>
      </c>
      <c r="D21" s="257" t="n">
        <v>0.35</v>
      </c>
      <c r="E21" s="257" t="n">
        <v>0.61</v>
      </c>
      <c r="F21" s="257" t="n">
        <v>0.7</v>
      </c>
      <c r="T21" s="245" t="inlineStr">
        <is>
          <t>GUSTAVO ALEXANDRE SOUSA SANTOS</t>
        </is>
      </c>
      <c r="U21" s="175" t="n">
        <v>3</v>
      </c>
      <c r="V21" s="242">
        <f>IF(ISNA(VLOOKUP(T21,L:L,1,FALSE())),1,0.5)</f>
        <v/>
      </c>
      <c r="X21" s="245" t="inlineStr">
        <is>
          <t>RAPHAEL SILVA DE ABREU</t>
        </is>
      </c>
      <c r="Y21" s="175" t="n">
        <v>5</v>
      </c>
      <c r="Z21" s="242">
        <f>IF(ISNA(VLOOKUP(X21,P:P,1,FALSE())),1,0.5)</f>
        <v/>
      </c>
    </row>
    <row r="22" ht="15.75" customHeight="1" s="144">
      <c r="B22" s="258" t="inlineStr">
        <is>
          <t>% Produção com Discentes (IR)</t>
        </is>
      </c>
      <c r="C22" s="259" t="n">
        <v>0.37</v>
      </c>
      <c r="D22" s="259" t="n">
        <v>0.29</v>
      </c>
      <c r="E22" s="259" t="n">
        <v>0.55</v>
      </c>
      <c r="F22" s="259" t="n">
        <v>0.65</v>
      </c>
      <c r="T22" s="245" t="inlineStr">
        <is>
          <t>GUSTAVO PACHECO EPIFANIO</t>
        </is>
      </c>
      <c r="U22" s="175" t="n">
        <v>1</v>
      </c>
      <c r="V22" s="242">
        <f>IF(ISNA(VLOOKUP(T22,L:L,1,FALSE())),1,0.5)</f>
        <v/>
      </c>
      <c r="X22" s="245" t="inlineStr">
        <is>
          <t>REBECCA PONTES SALLES</t>
        </is>
      </c>
      <c r="Y22" s="175" t="n">
        <v>1</v>
      </c>
      <c r="Z22" s="242">
        <f>IF(ISNA(VLOOKUP(X22,P:P,1,FALSE())),1,0.5)</f>
        <v/>
      </c>
    </row>
    <row r="23" ht="15.75" customHeight="1" s="144">
      <c r="T23" s="245" t="inlineStr">
        <is>
          <t>HELDER YUKIO OKUNO</t>
        </is>
      </c>
      <c r="U23" s="175" t="n">
        <v>6</v>
      </c>
      <c r="V23" s="242">
        <f>IF(ISNA(VLOOKUP(T23,L:L,1,FALSE())),1,0.5)</f>
        <v/>
      </c>
      <c r="X23" s="245" t="inlineStr">
        <is>
          <t>RENATO DE OLIVEIRA RODRIGUES</t>
        </is>
      </c>
      <c r="Y23" s="175" t="n">
        <v>1</v>
      </c>
      <c r="Z23" s="242">
        <f>IF(ISNA(VLOOKUP(X23,P:P,1,FALSE())),1,0.5)</f>
        <v/>
      </c>
    </row>
    <row r="24" ht="15.75" customHeight="1" s="144">
      <c r="B24" s="243" t="inlineStr">
        <is>
          <t>Produção Docente</t>
        </is>
      </c>
      <c r="C24" s="260" t="inlineStr">
        <is>
          <t>A1</t>
        </is>
      </c>
      <c r="D24" s="260" t="inlineStr">
        <is>
          <t>A2</t>
        </is>
      </c>
      <c r="E24" s="260" t="inlineStr">
        <is>
          <t>A3</t>
        </is>
      </c>
      <c r="F24" s="260" t="inlineStr">
        <is>
          <t>A4</t>
        </is>
      </c>
      <c r="G24" s="260" t="inlineStr">
        <is>
          <t>B1</t>
        </is>
      </c>
      <c r="H24" s="260" t="inlineStr">
        <is>
          <t>B2</t>
        </is>
      </c>
      <c r="I24" s="260" t="inlineStr">
        <is>
          <t>B3</t>
        </is>
      </c>
      <c r="J24" s="260" t="inlineStr">
        <is>
          <t>B4</t>
        </is>
      </c>
      <c r="T24" s="245" t="inlineStr">
        <is>
          <t>IGOR DA SILVA MORAIS</t>
        </is>
      </c>
      <c r="U24" s="175" t="n">
        <v>1</v>
      </c>
      <c r="V24" s="242">
        <f>IF(ISNA(VLOOKUP(T24,L:L,1,FALSE())),1,0.5)</f>
        <v/>
      </c>
      <c r="X24" s="245" t="inlineStr">
        <is>
          <t>RODRIGO TAVARES DE SOUZA</t>
        </is>
      </c>
      <c r="Y24" s="175" t="n">
        <v>1</v>
      </c>
      <c r="Z24" s="242">
        <f>IF(ISNA(VLOOKUP(X24,P:P,1,FALSE())),1,0.5)</f>
        <v/>
      </c>
    </row>
    <row r="25" ht="15.75" customHeight="1" s="144">
      <c r="B25" s="246" t="inlineStr">
        <is>
          <t>Conferências</t>
        </is>
      </c>
      <c r="C25" s="261">
        <f>COUNTIFS(Conferencias!$F:$F,C24)</f>
        <v/>
      </c>
      <c r="D25" s="261">
        <f>COUNTIFS(Conferencias!$F:$F,D24)</f>
        <v/>
      </c>
      <c r="E25" s="261">
        <f>COUNTIFS(Conferencias!$F:$F,E24)</f>
        <v/>
      </c>
      <c r="F25" s="261">
        <f>COUNTIFS(Conferencias!$F:$F,F24)</f>
        <v/>
      </c>
      <c r="G25" s="261">
        <f>COUNTIFS(Conferencias!$F:$F,G24)</f>
        <v/>
      </c>
      <c r="H25" s="261">
        <f>COUNTIFS(Conferencias!$F:$F,H24)</f>
        <v/>
      </c>
      <c r="I25" s="261">
        <f>COUNTIFS(Conferencias!$F:$F,I24)</f>
        <v/>
      </c>
      <c r="J25" s="261">
        <f>COUNTIFS(Conferencias!$F:$F,J24)</f>
        <v/>
      </c>
      <c r="T25" s="245" t="inlineStr">
        <is>
          <t>JOÃO ANTONIO FERREIRA</t>
        </is>
      </c>
      <c r="U25" s="175" t="n">
        <v>5</v>
      </c>
      <c r="V25" s="242">
        <f>IF(ISNA(VLOOKUP(T25,L:L,1,FALSE())),1,0.5)</f>
        <v/>
      </c>
      <c r="X25" s="245" t="inlineStr">
        <is>
          <t>THIAGO DA SILVA PEREIRA</t>
        </is>
      </c>
      <c r="Y25" s="175" t="n">
        <v>1</v>
      </c>
      <c r="Z25" s="242">
        <f>IF(ISNA(VLOOKUP(X25,P:P,1,FALSE())),1,0.5)</f>
        <v/>
      </c>
    </row>
    <row r="26" ht="15.75" customHeight="1" s="144">
      <c r="B26" s="258" t="inlineStr">
        <is>
          <t>Periódicos</t>
        </is>
      </c>
      <c r="C26" s="262">
        <f>COUNTIFS(Periodicos!$F:$F,C24)</f>
        <v/>
      </c>
      <c r="D26" s="262">
        <f>COUNTIFS(Periodicos!$F:$F,D24)</f>
        <v/>
      </c>
      <c r="E26" s="262">
        <f>COUNTIFS(Periodicos!$F:$F,E24)</f>
        <v/>
      </c>
      <c r="F26" s="262">
        <f>COUNTIFS(Periodicos!$F:$F,F24)</f>
        <v/>
      </c>
      <c r="G26" s="262">
        <f>COUNTIFS(Periodicos!$F:$F,G24)</f>
        <v/>
      </c>
      <c r="H26" s="262">
        <f>COUNTIFS(Periodicos!$F:$F,H24)</f>
        <v/>
      </c>
      <c r="I26" s="262">
        <f>COUNTIFS(Periodicos!$F:$F,I24)</f>
        <v/>
      </c>
      <c r="J26" s="262">
        <f>COUNTIFS(Periodicos!$F:$F,J24)</f>
        <v/>
      </c>
      <c r="T26" s="245" t="inlineStr">
        <is>
          <t>JOMAR FERREIRA MONSORES</t>
        </is>
      </c>
      <c r="U26" s="175" t="n">
        <v>1</v>
      </c>
      <c r="V26" s="242">
        <f>IF(ISNA(VLOOKUP(T26,L:L,1,FALSE())),1,0.5)</f>
        <v/>
      </c>
    </row>
    <row r="27" ht="15.75" customHeight="1" s="144">
      <c r="B27" s="247" t="inlineStr">
        <is>
          <t>Docentes</t>
        </is>
      </c>
      <c r="C27" s="263">
        <f>Geral!S2</f>
        <v/>
      </c>
      <c r="D27" s="264" t="n"/>
      <c r="E27" s="264" t="n"/>
      <c r="F27" s="264" t="n"/>
      <c r="G27" s="264" t="n"/>
      <c r="H27" s="264" t="n"/>
      <c r="I27" s="264" t="n"/>
      <c r="J27" s="264" t="n"/>
      <c r="T27" s="245" t="inlineStr">
        <is>
          <t>JORGE AUGUSTO GOMES DE BRITO</t>
        </is>
      </c>
      <c r="U27" s="175" t="n">
        <v>2</v>
      </c>
      <c r="V27" s="242">
        <f>IF(ISNA(VLOOKUP(T27,L:L,1,FALSE())),1,0.5)</f>
        <v/>
      </c>
    </row>
    <row r="28" ht="15.75" customHeight="1" s="144">
      <c r="T28" s="245" t="inlineStr">
        <is>
          <t>LEONARDO DA SILVA MOREIRA</t>
        </is>
      </c>
      <c r="U28" s="175" t="n">
        <v>1</v>
      </c>
      <c r="V28" s="242">
        <f>IF(ISNA(VLOOKUP(T28,L:L,1,FALSE())),1,0.5)</f>
        <v/>
      </c>
    </row>
    <row r="29" ht="15.75" customHeight="1" s="144">
      <c r="B29" s="243" t="n"/>
      <c r="C29" s="243" t="inlineStr">
        <is>
          <t>Q. 2017*</t>
        </is>
      </c>
      <c r="D29" s="243" t="inlineStr">
        <is>
          <t>Q. 2021</t>
        </is>
      </c>
      <c r="T29" s="245" t="inlineStr">
        <is>
          <t>LEONARDO DE SOUZA PREUSS</t>
        </is>
      </c>
      <c r="U29" s="175" t="n">
        <v>1</v>
      </c>
      <c r="V29" s="242">
        <f>IF(ISNA(VLOOKUP(T29,L:L,1,FALSE())),1,0.5)</f>
        <v/>
      </c>
    </row>
    <row r="30" ht="15.75" customHeight="1" s="144">
      <c r="B30" s="246" t="inlineStr">
        <is>
          <t>Periódicos (IG)</t>
        </is>
      </c>
      <c r="C30" s="265">
        <f>(C26*1+D26*0.85+E26*0.7+(F26+G26)*0.5+H26*0.2+I26*0.1+J26*0.05)/C$27</f>
        <v/>
      </c>
      <c r="D30" s="265">
        <f>(C26*1+D26*0.875+E26*0.75+F26*0.625+G26*0.5+H26*0.2+I26*0.1+J26*0.05)/C$27</f>
        <v/>
      </c>
      <c r="T30" s="245" t="inlineStr">
        <is>
          <t>LEONARDO FERREIRA DOS SANTOS</t>
        </is>
      </c>
      <c r="U30" s="175" t="n">
        <v>4</v>
      </c>
      <c r="V30" s="242">
        <f>IF(ISNA(VLOOKUP(T30,L:L,1,FALSE())),1,0.5)</f>
        <v/>
      </c>
    </row>
    <row r="31" ht="15.75" customHeight="1" s="144">
      <c r="B31" s="247" t="inlineStr">
        <is>
          <t>Periódicos (IR)</t>
        </is>
      </c>
      <c r="C31" s="266">
        <f>(C26*1+D26*0.85+E26*0.7)/C$27</f>
        <v/>
      </c>
      <c r="D31" s="266">
        <f>(C26*1+D26*0.875+E26*0.75+F26*0.625)/C$27</f>
        <v/>
      </c>
      <c r="T31" s="245" t="inlineStr">
        <is>
          <t>LUCIANA ESCOBAR GONÇALVES VIGNOLI</t>
        </is>
      </c>
      <c r="U31" s="175" t="n">
        <v>1</v>
      </c>
      <c r="V31" s="242">
        <f>IF(ISNA(VLOOKUP(T31,L:L,1,FALSE())),1,0.5)</f>
        <v/>
      </c>
    </row>
    <row r="32" ht="15.75" customHeight="1" s="144">
      <c r="B32" s="253" t="inlineStr">
        <is>
          <t>Conferências (IG)</t>
        </is>
      </c>
      <c r="C32" s="267">
        <f>(C25*1+D25*0.85+E25*0.7+(F25+G25)*0.5+H25*0.2+I25*0.1+J25*0.05)/C$27</f>
        <v/>
      </c>
      <c r="D32" s="267">
        <f>(C25*1+D25*0.875+E25*0.75+F25*0.625+G25*0.5+H25*0.2+I25*0.1+J25*0.05)/C$27</f>
        <v/>
      </c>
      <c r="T32" s="245" t="inlineStr">
        <is>
          <t>RAFAEL GUIMARÃES RODRIGUES</t>
        </is>
      </c>
      <c r="U32" s="175" t="n">
        <v>9</v>
      </c>
      <c r="V32" s="242">
        <f>IF(ISNA(VLOOKUP(T32,L:L,1,FALSE())),1,0.5)</f>
        <v/>
      </c>
    </row>
    <row r="33" ht="15.75" customHeight="1" s="144">
      <c r="B33" s="247" t="inlineStr">
        <is>
          <t>Conferências (IR)</t>
        </is>
      </c>
      <c r="C33" s="266">
        <f>(C25*1+D25*0.85+E25*0.7)/C$27</f>
        <v/>
      </c>
      <c r="D33" s="266">
        <f>(C25*1+D25*0.875+E25*0.75+F25*0.625)/C$27</f>
        <v/>
      </c>
      <c r="T33" s="245" t="inlineStr">
        <is>
          <t>RAMON FERREIRA SILVA</t>
        </is>
      </c>
      <c r="U33" s="175" t="n">
        <v>1</v>
      </c>
      <c r="V33" s="242">
        <f>IF(ISNA(VLOOKUP(T33,L:L,1,FALSE())),1,0.5)</f>
        <v/>
      </c>
    </row>
    <row r="34" ht="15.75" customHeight="1" s="144">
      <c r="B34" s="253" t="inlineStr">
        <is>
          <t>Total (IG)</t>
        </is>
      </c>
      <c r="C34" s="267">
        <f>C30+C32</f>
        <v/>
      </c>
      <c r="D34" s="267">
        <f>D30+D32</f>
        <v/>
      </c>
      <c r="T34" s="245" t="inlineStr">
        <is>
          <t>RAPHAEL DO NASCIMENTO MARTINS</t>
        </is>
      </c>
      <c r="U34" s="175" t="n">
        <v>1</v>
      </c>
      <c r="V34" s="242">
        <f>IF(ISNA(VLOOKUP(T34,L:L,1,FALSE())),1,0.5)</f>
        <v/>
      </c>
    </row>
    <row r="35" ht="15.75" customHeight="1" s="144">
      <c r="B35" s="258" t="inlineStr">
        <is>
          <t>Total (IR)</t>
        </is>
      </c>
      <c r="C35" s="268">
        <f>C31+C33</f>
        <v/>
      </c>
      <c r="D35" s="268">
        <f>D31+D33</f>
        <v/>
      </c>
      <c r="T35" s="245" t="inlineStr">
        <is>
          <t>RAPHAEL SILVA DE ABREU</t>
        </is>
      </c>
      <c r="U35" s="175" t="n">
        <v>6</v>
      </c>
      <c r="V35" s="242">
        <f>IF(ISNA(VLOOKUP(T35,L:L,1,FALSE())),1,0.5)</f>
        <v/>
      </c>
    </row>
    <row r="36" ht="15.75" customHeight="1" s="144">
      <c r="T36" s="245" t="inlineStr">
        <is>
          <t>REBECCA PONTES SALLES</t>
        </is>
      </c>
      <c r="U36" s="175" t="n">
        <v>3</v>
      </c>
      <c r="V36" s="242">
        <f>IF(ISNA(VLOOKUP(T36,L:L,1,FALSE())),1,0.5)</f>
        <v/>
      </c>
    </row>
    <row r="37" ht="15.75" customHeight="1" s="144">
      <c r="B37" s="243" t="n"/>
      <c r="C37" s="243" t="inlineStr">
        <is>
          <t>PPCIC</t>
        </is>
      </c>
      <c r="D37" s="243" t="inlineStr">
        <is>
          <t>Nível 3</t>
        </is>
      </c>
      <c r="E37" s="243" t="inlineStr">
        <is>
          <t>Nível 4</t>
        </is>
      </c>
      <c r="F37" s="243" t="inlineStr">
        <is>
          <t>Nível 5</t>
        </is>
      </c>
      <c r="T37" s="245" t="inlineStr">
        <is>
          <t>RENATO DE OLIVEIRA RODRIGUES</t>
        </is>
      </c>
      <c r="U37" s="175" t="n">
        <v>1</v>
      </c>
      <c r="V37" s="242">
        <f>IF(ISNA(VLOOKUP(T37,L:L,1,FALSE())),1,0.5)</f>
        <v/>
      </c>
    </row>
    <row r="38" ht="15.75" customHeight="1" s="144">
      <c r="B38" s="246" t="inlineStr">
        <is>
          <t>Total (IG)</t>
        </is>
      </c>
      <c r="C38" s="265">
        <f>C34</f>
        <v/>
      </c>
      <c r="D38" s="265" t="n">
        <v>4</v>
      </c>
      <c r="E38" s="265" t="n">
        <v>6</v>
      </c>
      <c r="F38" s="265" t="n">
        <v>7.4</v>
      </c>
      <c r="T38" s="245" t="inlineStr">
        <is>
          <t>ROBERTO DE CASTRO SOUZA PINTO</t>
        </is>
      </c>
      <c r="U38" s="175" t="n">
        <v>1</v>
      </c>
      <c r="V38" s="242">
        <f>IF(ISNA(VLOOKUP(T38,L:L,1,FALSE())),1,0.5)</f>
        <v/>
      </c>
    </row>
    <row r="39" ht="15.75" customHeight="1" s="144">
      <c r="B39" s="258" t="inlineStr">
        <is>
          <t>Total (IR)</t>
        </is>
      </c>
      <c r="C39" s="268">
        <f>C35</f>
        <v/>
      </c>
      <c r="D39" s="268" t="n">
        <v>2.8</v>
      </c>
      <c r="E39" s="268" t="n">
        <v>4.2</v>
      </c>
      <c r="F39" s="268" t="n">
        <v>6</v>
      </c>
      <c r="T39" s="245" t="inlineStr">
        <is>
          <t>RODOLPHO DA SILVA NASCIMENTO</t>
        </is>
      </c>
      <c r="U39" s="175" t="n">
        <v>2</v>
      </c>
      <c r="V39" s="242">
        <f>IF(ISNA(VLOOKUP(T39,L:L,1,FALSE())),1,0.5)</f>
        <v/>
      </c>
    </row>
    <row r="40" ht="15.75" customHeight="1" s="144">
      <c r="T40" s="245" t="inlineStr">
        <is>
          <t>RODRIGO TAVARES DE SOUZA</t>
        </is>
      </c>
      <c r="U40" s="175" t="n">
        <v>1</v>
      </c>
      <c r="V40" s="242">
        <f>IF(ISNA(VLOOKUP(T40,L:L,1,FALSE())),1,0.5)</f>
        <v/>
      </c>
    </row>
    <row r="41" ht="15.75" customHeight="1" s="144">
      <c r="T41" s="245" t="inlineStr">
        <is>
          <t>THIAGO DA SILVA PEREIRA</t>
        </is>
      </c>
      <c r="U41" s="175" t="n">
        <v>1</v>
      </c>
      <c r="V41" s="242">
        <f>IF(ISNA(VLOOKUP(T41,L:L,1,FALSE())),1,0.5)</f>
        <v/>
      </c>
    </row>
    <row r="42" ht="15.75" customHeight="1" s="144">
      <c r="B42" s="243" t="n"/>
      <c r="C42" s="269" t="inlineStr">
        <is>
          <t>Computação</t>
        </is>
      </c>
      <c r="D42" s="269" t="inlineStr">
        <is>
          <t>Geral</t>
        </is>
      </c>
      <c r="E42" s="243" t="inlineStr">
        <is>
          <t>%</t>
        </is>
      </c>
      <c r="T42" s="245" t="inlineStr">
        <is>
          <t>THIAGO RANGEL PESSET GONZAGA</t>
        </is>
      </c>
      <c r="U42" s="175" t="n">
        <v>1</v>
      </c>
      <c r="V42" s="242">
        <f>IF(ISNA(VLOOKUP(T42,L:L,1,FALSE())),1,0.5)</f>
        <v/>
      </c>
    </row>
    <row r="43" ht="15.75" customHeight="1" s="144">
      <c r="B43" s="246" t="inlineStr">
        <is>
          <t>Total (IG)</t>
        </is>
      </c>
      <c r="C43" s="270">
        <f>COUNTIFS(Periodicos!$G:$G,1)</f>
        <v/>
      </c>
      <c r="D43" s="270">
        <f>COUNT(Periodicos!$G:$G)</f>
        <v/>
      </c>
      <c r="E43" s="257">
        <f>1-C43/D43</f>
        <v/>
      </c>
    </row>
    <row r="44" ht="15.75" customHeight="1" s="144">
      <c r="B44" s="258" t="inlineStr">
        <is>
          <t>Total (IR)</t>
        </is>
      </c>
      <c r="C44" s="271">
        <f>COUNTIFS(Periodicos!$G:$G,1,Periodicos!$H:$H,1)</f>
        <v/>
      </c>
      <c r="D44" s="271">
        <f>COUNTIFS(Periodicos!$H:$H,1)</f>
        <v/>
      </c>
      <c r="E44" s="259">
        <f>1-C44/D44</f>
        <v/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Eduardo Ogasawara</dc:creator>
  <dc:language>en-US</dc:language>
  <dcterms:created xsi:type="dcterms:W3CDTF">2017-04-03T11:45:22Z</dcterms:created>
  <dcterms:modified xsi:type="dcterms:W3CDTF">2023-12-17T20:17:32Z</dcterms:modified>
  <cp:revision>6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0x01010027C70F2F856DFA4DB65445699C69C5BF</vt:lpwstr>
  </property>
  <property name="xd_Signature" fmtid="{D5CDD505-2E9C-101B-9397-08002B2CF9AE}" pid="3">
    <vt:bool>0</vt:bool>
  </property>
</Properties>
</file>