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anejamento" sheetId="1" state="visible" r:id="rId3"/>
    <sheet name="Geral" sheetId="2" state="visible" r:id="rId4"/>
    <sheet name="Conferencias" sheetId="3" state="visible" r:id="rId5"/>
    <sheet name="Periodicos" sheetId="4" state="visible" r:id="rId6"/>
    <sheet name="Tecnica" sheetId="5" state="visible" r:id="rId7"/>
    <sheet name="LConferencias" sheetId="6" state="visible" r:id="rId8"/>
    <sheet name="LPeriodicos" sheetId="7" state="visible" r:id="rId9"/>
    <sheet name="Tabelas" sheetId="8" state="visible" r:id="rId10"/>
    <sheet name="Producao" sheetId="9" state="visible" r:id="rId11"/>
    <sheet name="HIndex" sheetId="10" state="visible" r:id="rId12"/>
    <sheet name="Discentes" sheetId="11" state="visible" r:id="rId13"/>
    <sheet name="Docentes" sheetId="12" state="visible" r:id="rId14"/>
  </sheets>
  <definedNames>
    <definedName function="false" hidden="true" localSheetId="10" name="_xlnm._FilterDatabase" vbProcedure="false">Discentes!$A$1:$B$1</definedName>
    <definedName function="false" hidden="true" localSheetId="11" name="_xlnm._FilterDatabase" vbProcedure="false">Docentes!$A$1:$C$1</definedName>
    <definedName function="false" hidden="false" localSheetId="1" name="_xlnm.Print_Area" vbProcedure="false">Geral!$A$1:$R$32</definedName>
    <definedName function="false" hidden="true" localSheetId="6" name="_xlnm._FilterDatabase" vbProcedure="false">LPeriodicos!$A$1:$M$1</definedName>
    <definedName function="false" hidden="true" localSheetId="3" name="_xlnm._FilterDatabase" vbProcedure="false">Periodicos!$A$1:$AE$39</definedName>
    <definedName function="false" hidden="true" localSheetId="4" name="_xlnm._FilterDatabase" vbProcedure="false">Tecnica!$A$1:$Y$9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1" authorId="0">
      <text>
        <r>
          <rPr>
            <sz val="10"/>
            <rFont val="Arial"/>
            <family val="2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  </r>
      </text>
    </comment>
    <comment ref="J1" authorId="0">
      <text>
        <r>
          <rPr>
            <sz val="10"/>
            <rFont val="Arial"/>
            <family val="2"/>
          </rPr>
          <t xml:space="preserve">Eduardo Ogasawara:
https://ppgcc.github.io/discentesPPGCC/pt-BR/qualis/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0" authorId="0">
      <text>
        <r>
          <rPr>
            <sz val="10"/>
            <rFont val="Arial"/>
            <family val="2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  </r>
      </text>
    </comment>
    <comment ref="D10" authorId="0">
      <text>
        <r>
          <rPr>
            <sz val="10"/>
            <rFont val="Arial"/>
            <family val="2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  </r>
      </text>
    </comment>
    <comment ref="D11" authorId="0">
      <text>
        <r>
          <rPr>
            <sz val="10"/>
            <rFont val="Arial"/>
            <family val="2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  </r>
      </text>
    </comment>
    <comment ref="E10" authorId="0">
      <text>
        <r>
          <rPr>
            <sz val="10"/>
            <rFont val="Arial"/>
            <family val="2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2" authorId="0">
      <text>
        <r>
          <rPr>
            <sz val="10"/>
            <rFont val="Arial"/>
            <family val="2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  </r>
      </text>
    </comment>
  </commentList>
</comments>
</file>

<file path=xl/sharedStrings.xml><?xml version="1.0" encoding="utf-8"?>
<sst xmlns="http://schemas.openxmlformats.org/spreadsheetml/2006/main" count="886" uniqueCount="410">
  <si>
    <t xml:space="preserve">TOTAL</t>
  </si>
  <si>
    <t xml:space="preserve">CONF</t>
  </si>
  <si>
    <t xml:space="preserve">COM/DISC</t>
  </si>
  <si>
    <t xml:space="preserve">PER</t>
  </si>
  <si>
    <t xml:space="preserve">Peródicos</t>
  </si>
  <si>
    <t xml:space="preserve">Eventos</t>
  </si>
  <si>
    <t xml:space="preserve">A1</t>
  </si>
  <si>
    <t xml:space="preserve">A2</t>
  </si>
  <si>
    <t xml:space="preserve">A3</t>
  </si>
  <si>
    <t xml:space="preserve">A4</t>
  </si>
  <si>
    <t xml:space="preserve">B1</t>
  </si>
  <si>
    <t xml:space="preserve">B2</t>
  </si>
  <si>
    <t xml:space="preserve">B3</t>
  </si>
  <si>
    <t xml:space="preserve">B4</t>
  </si>
  <si>
    <t xml:space="preserve">NI</t>
  </si>
  <si>
    <t xml:space="preserve">NA</t>
  </si>
  <si>
    <t xml:space="preserve">COM DISCENTE</t>
  </si>
  <si>
    <t xml:space="preserve">Real</t>
  </si>
  <si>
    <t xml:space="preserve">Plano</t>
  </si>
  <si>
    <t xml:space="preserve">Ano</t>
  </si>
  <si>
    <t xml:space="preserve">Índice Restrito</t>
  </si>
  <si>
    <t xml:space="preserve">Docentes</t>
  </si>
  <si>
    <t xml:space="preserve">IRestrito
/docente/ano</t>
  </si>
  <si>
    <t xml:space="preserve">Conferências</t>
  </si>
  <si>
    <t xml:space="preserve">Periódicos</t>
  </si>
  <si>
    <t xml:space="preserve">Total</t>
  </si>
  <si>
    <t xml:space="preserve">--leonardo (maio)   --haddad (dezembro)</t>
  </si>
  <si>
    <t xml:space="preserve">++ glauco (fevereiro)</t>
  </si>
  <si>
    <t xml:space="preserve">++ diogo</t>
  </si>
  <si>
    <t xml:space="preserve">Entrada</t>
  </si>
  <si>
    <t xml:space="preserve">Desligados</t>
  </si>
  <si>
    <t xml:space="preserve">Formados (ano)</t>
  </si>
  <si>
    <t xml:space="preserve">Ativos
(ano)</t>
  </si>
  <si>
    <t xml:space="preserve">Entrada
/docente</t>
  </si>
  <si>
    <t xml:space="preserve">Formados
/docente</t>
  </si>
  <si>
    <t xml:space="preserve">Ativos
/docente</t>
  </si>
  <si>
    <t xml:space="preserve">Item</t>
  </si>
  <si>
    <t xml:space="preserve">Diego Haddad</t>
  </si>
  <si>
    <t xml:space="preserve">Diego Brandão</t>
  </si>
  <si>
    <t xml:space="preserve">Diogo Mendonça</t>
  </si>
  <si>
    <t xml:space="preserve">Douglas Cardoso</t>
  </si>
  <si>
    <t xml:space="preserve">Eduardo Bezerra</t>
  </si>
  <si>
    <t xml:space="preserve">Eduardo Ogasawara</t>
  </si>
  <si>
    <t xml:space="preserve">Felipe Henriques</t>
  </si>
  <si>
    <t xml:space="preserve">Glauco Amorim</t>
  </si>
  <si>
    <t xml:space="preserve">Gustavo Guedes</t>
  </si>
  <si>
    <t xml:space="preserve">Joao Quadros </t>
  </si>
  <si>
    <t xml:space="preserve">Joel dos Santos</t>
  </si>
  <si>
    <t xml:space="preserve">Jorge Soares</t>
  </si>
  <si>
    <t xml:space="preserve">Kele Belloze</t>
  </si>
  <si>
    <t xml:space="preserve">Laura de Assis</t>
  </si>
  <si>
    <t xml:space="preserve">Pedro Gonzalez</t>
  </si>
  <si>
    <t xml:space="preserve">Rafaelli Coutinho</t>
  </si>
  <si>
    <t xml:space="preserve">Programa/
(ano*docente)</t>
  </si>
  <si>
    <t xml:space="preserve">Programa Quadrienal</t>
  </si>
  <si>
    <t xml:space="preserve">2017-2020</t>
  </si>
  <si>
    <t xml:space="preserve">Anos</t>
  </si>
  <si>
    <t xml:space="preserve">Conferências (2021-2024)</t>
  </si>
  <si>
    <t xml:space="preserve">Geral</t>
  </si>
  <si>
    <t xml:space="preserve">Restrito</t>
  </si>
  <si>
    <t xml:space="preserve">Geral com discente</t>
  </si>
  <si>
    <t xml:space="preserve">Restrito com discente</t>
  </si>
  <si>
    <t xml:space="preserve">Periódicos (2021-2024)</t>
  </si>
  <si>
    <t xml:space="preserve">Geral na área</t>
  </si>
  <si>
    <t xml:space="preserve">Restrito na área</t>
  </si>
  <si>
    <t xml:space="preserve">Total  (2021-2024)</t>
  </si>
  <si>
    <t xml:space="preserve">Geral com Discente</t>
  </si>
  <si>
    <t xml:space="preserve">Restrito com Discente</t>
  </si>
  <si>
    <t xml:space="preserve">Produção Técnica</t>
  </si>
  <si>
    <t xml:space="preserve">Patente Depositada</t>
  </si>
  <si>
    <t xml:space="preserve">Patente Concedida</t>
  </si>
  <si>
    <t xml:space="preserve">Produto Técnico</t>
  </si>
  <si>
    <t xml:space="preserve">Recredenciamento</t>
  </si>
  <si>
    <t xml:space="preserve">Conferencias</t>
  </si>
  <si>
    <t xml:space="preserve">&gt;= 1,4</t>
  </si>
  <si>
    <t xml:space="preserve">&gt;= 2,8</t>
  </si>
  <si>
    <t xml:space="preserve">Total Geral</t>
  </si>
  <si>
    <t xml:space="preserve">&gt;= 4,0</t>
  </si>
  <si>
    <t xml:space="preserve">Orientações PPCIC (andamento)</t>
  </si>
  <si>
    <t xml:space="preserve">Defesas 2021</t>
  </si>
  <si>
    <t xml:space="preserve">Defesas 2022</t>
  </si>
  <si>
    <t xml:space="preserve">Defesas 2023</t>
  </si>
  <si>
    <t xml:space="preserve">Defesas 2024</t>
  </si>
  <si>
    <t xml:space="preserve">IC 2021</t>
  </si>
  <si>
    <t xml:space="preserve">IC 2022</t>
  </si>
  <si>
    <t xml:space="preserve">IC 2023</t>
  </si>
  <si>
    <t xml:space="preserve">IC 2024</t>
  </si>
  <si>
    <t xml:space="preserve">TCC 2021</t>
  </si>
  <si>
    <t xml:space="preserve">TCC 2022</t>
  </si>
  <si>
    <t xml:space="preserve">TCC 2023</t>
  </si>
  <si>
    <t xml:space="preserve">TCC 2024</t>
  </si>
  <si>
    <t xml:space="preserve">Numero</t>
  </si>
  <si>
    <t xml:space="preserve">Artigo</t>
  </si>
  <si>
    <t xml:space="preserve">Fórum</t>
  </si>
  <si>
    <t xml:space="preserve">Discente</t>
  </si>
  <si>
    <t xml:space="preserve">Qualis</t>
  </si>
  <si>
    <t xml:space="preserve">Área</t>
  </si>
  <si>
    <t xml:space="preserve">Discente Programa</t>
  </si>
  <si>
    <t xml:space="preserve">Fator</t>
  </si>
  <si>
    <t xml:space="preserve">Credenciamento</t>
  </si>
  <si>
    <t xml:space="preserve">2018</t>
  </si>
  <si>
    <t xml:space="preserve">A total variation diminishing Hopmoc scheme for numerical time integration of evolutionary differential equations</t>
  </si>
  <si>
    <t xml:space="preserve">International Conference on Computational Science and Its Applications</t>
  </si>
  <si>
    <t xml:space="preserve">DIEGO BARRETO HADDAD</t>
  </si>
  <si>
    <t xml:space="preserve">DIEGO NUNES BRANDAO</t>
  </si>
  <si>
    <t xml:space="preserve">DIOGO SILVEIRA MENDONCA</t>
  </si>
  <si>
    <t xml:space="preserve">DOUGLAS DE OLIVEIRA CARDOSO</t>
  </si>
  <si>
    <t xml:space="preserve">EDUARDO BEZERRA DA SILVA</t>
  </si>
  <si>
    <t xml:space="preserve">EDUARDO SOARES OGASAWARA</t>
  </si>
  <si>
    <t xml:space="preserve">FELIPE DA ROCHA HENRIQUES</t>
  </si>
  <si>
    <t xml:space="preserve">GLAUCO FIOROTT AMORIM</t>
  </si>
  <si>
    <t xml:space="preserve">GUSTAVO PAIVA GUEDES E SILVA</t>
  </si>
  <si>
    <t xml:space="preserve">JOAO ROBERTO DE TOLEDO QUADROS</t>
  </si>
  <si>
    <t xml:space="preserve">JOEL ANDRE FERREIRA DOS SANTOS</t>
  </si>
  <si>
    <t xml:space="preserve">JORGE DE ABREU SOARES</t>
  </si>
  <si>
    <t xml:space="preserve">KELE TEIXEIRA BELLOZE</t>
  </si>
  <si>
    <t xml:space="preserve">LAURA SILVA DE ASSIS</t>
  </si>
  <si>
    <t xml:space="preserve">PEDRO HENRIQUE GONZALEZ SILVA</t>
  </si>
  <si>
    <t xml:space="preserve">RAFAELLI DE CARVALHO COUTINHO</t>
  </si>
  <si>
    <t xml:space="preserve">On the resilience of canonical reducible permutation graphs</t>
  </si>
  <si>
    <t xml:space="preserve">DISCRETE APPLIED MATHEMATICS.</t>
  </si>
  <si>
    <t xml:space="preserve">Using SPQR-trees to speed up recognition algorithms based on 2-cutsets</t>
  </si>
  <si>
    <t xml:space="preserve">A controller design for mitigation of passive system identification attacks in networked control systems</t>
  </si>
  <si>
    <t xml:space="preserve">JOURNAL OF INTERNET SERVICES AND APPLICATIONS.</t>
  </si>
  <si>
    <t xml:space="preserve">A Hybrid Approach for Spatio-temporal Validation of Declarative Multimedia Documents</t>
  </si>
  <si>
    <t xml:space="preserve">ACM Transactions on Multimedia Computing Communications and Applications.</t>
  </si>
  <si>
    <t xml:space="preserve">Exact analysis of the least-mean-square algorithm with coloured measurement noise</t>
  </si>
  <si>
    <t xml:space="preserve">ELECTRONICS LETTERS.</t>
  </si>
  <si>
    <t xml:space="preserve">Using Physical Context-Based Authentication against External Attacks: Models and Protocols</t>
  </si>
  <si>
    <t xml:space="preserve">Security and Communication Networks.</t>
  </si>
  <si>
    <t xml:space="preserve">Nonstationary time series transformation methods: An experimental review</t>
  </si>
  <si>
    <t xml:space="preserve">KNOWLEDGE-BASED SYSTEMS.</t>
  </si>
  <si>
    <t xml:space="preserve">Data Mart Construction based on Semantic Annotation of Scientific Articles: A Case Study for the Prioritization of Drug Targets</t>
  </si>
  <si>
    <t xml:space="preserve">COMPUTER METHODS AND PROGRAMS IN BIOMEDICINE.</t>
  </si>
  <si>
    <t xml:space="preserve">Produto</t>
  </si>
  <si>
    <t xml:space="preserve">Tipo</t>
  </si>
  <si>
    <t xml:space="preserve">BIOLAND</t>
  </si>
  <si>
    <t xml:space="preserve">Software/Aplicativo (Programa de computador)</t>
  </si>
  <si>
    <t xml:space="preserve">ANDERSON LUIZ BERNARDES DA ROCHA</t>
  </si>
  <si>
    <t xml:space="preserve">ECOLAB</t>
  </si>
  <si>
    <t xml:space="preserve">LUIS HENRIQUE DOS REIS LACERDA NOGUEIRA</t>
  </si>
  <si>
    <t xml:space="preserve">GSTSM: GENERALIZED SPATIAL-TIME SEQUENCE MINER</t>
  </si>
  <si>
    <t xml:space="preserve">ANTONIO JOSE DE CASTRO FILHO</t>
  </si>
  <si>
    <t xml:space="preserve">IV ESCOLA REGIONAL DE INFORMÁTICA DO RIO DE JANEIRO (ERI/RJ)</t>
  </si>
  <si>
    <t xml:space="preserve">Evento organizado</t>
  </si>
  <si>
    <t xml:space="preserve">IX SYMPOSIUM ON KNOWLEDGE DISCOVERY, MINING AND LEARNING</t>
  </si>
  <si>
    <t xml:space="preserve">VII ESCOLA REGIONAL DE ALTO DESEMPENHO DO RIO DE JANEIRO (ERAD/RJ)</t>
  </si>
  <si>
    <t xml:space="preserve">XXXVI SIMPÓSIO BRASILEIRO DE BANCO DE DADOS</t>
  </si>
  <si>
    <t xml:space="preserve">DATASET OF HISTORICAL RECORD OF NEONATAL MORTALITY RATES IN BRAZILIAN MUNICIPALITIES</t>
  </si>
  <si>
    <t xml:space="preserve">Base de dados técnico-científica</t>
  </si>
  <si>
    <t xml:space="preserve">REBECCA PONTES SALLES; IGOR DA SILVA MORAIS; BALTHAZAR DA SILVA CUNHA PAIXAO</t>
  </si>
  <si>
    <t xml:space="preserve">CS</t>
  </si>
  <si>
    <t xml:space="preserve">Value</t>
  </si>
  <si>
    <t xml:space="preserve">IJCNN - IEEE International Joint Conference on Neural Networks</t>
  </si>
  <si>
    <t xml:space="preserve">ISSN/eISSN</t>
  </si>
  <si>
    <t xml:space="preserve">JIF (Percentil)</t>
  </si>
  <si>
    <t xml:space="preserve">Scopus</t>
  </si>
  <si>
    <t xml:space="preserve">Qualis-PDF</t>
  </si>
  <si>
    <t xml:space="preserve">QJIF</t>
  </si>
  <si>
    <t xml:space="preserve">Qscopus</t>
  </si>
  <si>
    <t xml:space="preserve">Max(PDF:Scopus)</t>
  </si>
  <si>
    <t xml:space="preserve">0166-218X</t>
  </si>
  <si>
    <t xml:space="preserve">1867-4828</t>
  </si>
  <si>
    <t xml:space="preserve">1551-6857</t>
  </si>
  <si>
    <t xml:space="preserve">0013-5194</t>
  </si>
  <si>
    <t xml:space="preserve">1939-0114</t>
  </si>
  <si>
    <t xml:space="preserve">0950-7051</t>
  </si>
  <si>
    <t xml:space="preserve">0169-2607</t>
  </si>
  <si>
    <t xml:space="preserve">Ponto</t>
  </si>
  <si>
    <t xml:space="preserve">B5</t>
  </si>
  <si>
    <t xml:space="preserve">C</t>
  </si>
  <si>
    <t xml:space="preserve">Periódicos - Geral</t>
  </si>
  <si>
    <t xml:space="preserve">Periódicos - Restrito</t>
  </si>
  <si>
    <t xml:space="preserve">Conferências - Geral</t>
  </si>
  <si>
    <t xml:space="preserve">Conferências - Restrito</t>
  </si>
  <si>
    <t xml:space="preserve">Fluxo discentes</t>
  </si>
  <si>
    <t xml:space="preserve">2017</t>
  </si>
  <si>
    <t xml:space="preserve">2019</t>
  </si>
  <si>
    <t xml:space="preserve">2020</t>
  </si>
  <si>
    <t xml:space="preserve">(All)</t>
  </si>
  <si>
    <t xml:space="preserve">Matriculados</t>
  </si>
  <si>
    <t xml:space="preserve">Titulados</t>
  </si>
  <si>
    <t xml:space="preserve">Row Labels</t>
  </si>
  <si>
    <t xml:space="preserve">Count of Qualis</t>
  </si>
  <si>
    <t xml:space="preserve">Qtd Per</t>
  </si>
  <si>
    <t xml:space="preserve">Qtd Per Rest</t>
  </si>
  <si>
    <t xml:space="preserve">Qtd Conf</t>
  </si>
  <si>
    <t xml:space="preserve">Qtd Conf Rest</t>
  </si>
  <si>
    <t xml:space="preserve">Total Discentes</t>
  </si>
  <si>
    <t xml:space="preserve">DANIELLE FONTES DE ALBUQUERQUE</t>
  </si>
  <si>
    <t xml:space="preserve">ADALBERTO MINEIRO DE ANDRADE</t>
  </si>
  <si>
    <t xml:space="preserve">ALAN RODRIGUES FONTOURA</t>
  </si>
  <si>
    <t xml:space="preserve">GUSTAVO ALEXANDRE SOUSA SANTOS</t>
  </si>
  <si>
    <t xml:space="preserve">AÍQUES RODRIGUES GOMES</t>
  </si>
  <si>
    <t xml:space="preserve">ARTHUR RONALD FERREIRA DIOGENES GARCIA</t>
  </si>
  <si>
    <t xml:space="preserve">Produção Discente</t>
  </si>
  <si>
    <t xml:space="preserve">JEFERSON COLARES DE PAULA</t>
  </si>
  <si>
    <t xml:space="preserve">DANIEL FERREIRA DE OLIVEIRA</t>
  </si>
  <si>
    <t xml:space="preserve">JOMAR FERREIRA MONSORES</t>
  </si>
  <si>
    <t xml:space="preserve">ALEXANDRE MARTINS DA CUNHA</t>
  </si>
  <si>
    <t xml:space="preserve">ELLEN PAIXÃO SILVA</t>
  </si>
  <si>
    <t xml:space="preserve">LEANDRO MAIA GONÇALVES</t>
  </si>
  <si>
    <t xml:space="preserve">FLAVIO MATIAS DAMASCENO DE CARVALHO</t>
  </si>
  <si>
    <t xml:space="preserve">LEONARDO FERREIRA DOS SANTOS</t>
  </si>
  <si>
    <t xml:space="preserve">RAFAEL GUIMARÃES RODRIGUES</t>
  </si>
  <si>
    <t xml:space="preserve">GABRIEL NASCIMENTO DO SANTOS</t>
  </si>
  <si>
    <t xml:space="preserve">Conferências (geral)</t>
  </si>
  <si>
    <t xml:space="preserve">RAFAELA DE CASTRO  DO NASCIMENTO</t>
  </si>
  <si>
    <t xml:space="preserve">CARLOS ALBERTO MARTINS DE SOUZA TELES</t>
  </si>
  <si>
    <t xml:space="preserve">Conferências (restrito)</t>
  </si>
  <si>
    <t xml:space="preserve">RAPHAEL SILVA DE ABREU</t>
  </si>
  <si>
    <t xml:space="preserve">CARLOS ROBERTO GONÇALVES VIANA FILHO</t>
  </si>
  <si>
    <t xml:space="preserve">HELDER YUKIO OKUNO</t>
  </si>
  <si>
    <t xml:space="preserve">Periódicos (geral)</t>
  </si>
  <si>
    <t xml:space="preserve">REBECCA PONTES SALLES</t>
  </si>
  <si>
    <t xml:space="preserve">CEDRIC MONTEIRO</t>
  </si>
  <si>
    <t xml:space="preserve">IGOR DA SILVA MORAIS</t>
  </si>
  <si>
    <t xml:space="preserve">Periódicos (restrito)</t>
  </si>
  <si>
    <t xml:space="preserve">THIAGO RANGEL PESSET GONZAGA</t>
  </si>
  <si>
    <t xml:space="preserve">JOÃO ANTONIO FERREIRA</t>
  </si>
  <si>
    <t xml:space="preserve">Total (geral)</t>
  </si>
  <si>
    <t xml:space="preserve">ROBERTO DE CASTRO SOUZA PINTO</t>
  </si>
  <si>
    <t xml:space="preserve">DIEGO RODRIGUES MOREIRA TOTTE</t>
  </si>
  <si>
    <t xml:space="preserve">JORGE AUGUSTO GOMES DE BRITO</t>
  </si>
  <si>
    <t xml:space="preserve">Total (restrito)</t>
  </si>
  <si>
    <t xml:space="preserve">LEONARDO DA SILVA MOREIRA</t>
  </si>
  <si>
    <t xml:space="preserve">% (geral)</t>
  </si>
  <si>
    <t xml:space="preserve">FERNANDO PEREIRA GONÇALVES DE SÁ</t>
  </si>
  <si>
    <t xml:space="preserve">LEONARDO DE SOUZA PREUSS</t>
  </si>
  <si>
    <t xml:space="preserve">% (restrito)</t>
  </si>
  <si>
    <t xml:space="preserve">LUCIANA ESCOBAR GONÇALVES VIGNOLI</t>
  </si>
  <si>
    <t xml:space="preserve">FRANCIMARY PROCÓPIO GARCIA DE OLIVEIRA</t>
  </si>
  <si>
    <t xml:space="preserve">PPCIC</t>
  </si>
  <si>
    <t xml:space="preserve">Nível 3</t>
  </si>
  <si>
    <t xml:space="preserve">Nível 4</t>
  </si>
  <si>
    <t xml:space="preserve">Nível 5</t>
  </si>
  <si>
    <t xml:space="preserve">RAMON FERREIRA SILVA</t>
  </si>
  <si>
    <t xml:space="preserve">% Produção com Discentes (IG) </t>
  </si>
  <si>
    <t xml:space="preserve">% Produção com Discentes (IR)</t>
  </si>
  <si>
    <t xml:space="preserve">GUSTAVO PACHECO EPIFANIO</t>
  </si>
  <si>
    <t xml:space="preserve">RENATO DE OLIVEIRA RODRIGUES</t>
  </si>
  <si>
    <t xml:space="preserve">Produção Docente</t>
  </si>
  <si>
    <t xml:space="preserve">RODRIGO TAVARES DE SOUZA</t>
  </si>
  <si>
    <t xml:space="preserve">THIAGO DA SILVA PEREIRA</t>
  </si>
  <si>
    <t xml:space="preserve">Q. 2017*</t>
  </si>
  <si>
    <t xml:space="preserve">Q. 2021</t>
  </si>
  <si>
    <t xml:space="preserve">Periódicos (IG)</t>
  </si>
  <si>
    <t xml:space="preserve">Periódicos (IR)</t>
  </si>
  <si>
    <t xml:space="preserve">Conferências (IG)</t>
  </si>
  <si>
    <t xml:space="preserve">Conferências (IR)</t>
  </si>
  <si>
    <t xml:space="preserve">Total (IG)</t>
  </si>
  <si>
    <t xml:space="preserve">RAPHAEL DO NASCIMENTO MARTINS</t>
  </si>
  <si>
    <t xml:space="preserve">Total (IR)</t>
  </si>
  <si>
    <t xml:space="preserve">RODOLPHO DA SILVA NASCIMENTO</t>
  </si>
  <si>
    <t xml:space="preserve">Computação</t>
  </si>
  <si>
    <t xml:space="preserve">%</t>
  </si>
  <si>
    <t xml:space="preserve">Nome</t>
  </si>
  <si>
    <t xml:space="preserve">Google Scholar</t>
  </si>
  <si>
    <t xml:space="preserve">H-index</t>
  </si>
  <si>
    <t xml:space="preserve">https://scholar.google.com.br/citations?user=pBQVTUkAAAAJ</t>
  </si>
  <si>
    <t xml:space="preserve">https://scholar.google.com/citations?user=bwkYcu4AAAAJ&amp;hl=pt-BR</t>
  </si>
  <si>
    <t xml:space="preserve">https://scholar.google.com.br/citations?user=WQflRMIAAAAJ</t>
  </si>
  <si>
    <t xml:space="preserve">https://scholar.google.com.br/citations?user=uloLWtgAAAAJ</t>
  </si>
  <si>
    <t xml:space="preserve">Felipe da Rocha Henriques</t>
  </si>
  <si>
    <t xml:space="preserve">https://scholar.google.com.br/citations?user=kJT37q4AAAAJ</t>
  </si>
  <si>
    <t xml:space="preserve">https://scholar.google.com/citations?user=pNL2V2sAAAAJ</t>
  </si>
  <si>
    <t xml:space="preserve">https://scholar.google.com.br/citations?user=nZfS3qoAAAAJ</t>
  </si>
  <si>
    <t xml:space="preserve">https://scholar.google.com.br/citations?user=4AwT7X8AAAAJ</t>
  </si>
  <si>
    <t xml:space="preserve">https://scholar.google.com.br/citations?user=fYjzAYMAAAAJ</t>
  </si>
  <si>
    <t xml:space="preserve">https://scholar.google.com.br/citations?user=nz-6EN4AAAAJ</t>
  </si>
  <si>
    <t xml:space="preserve">https://scholar.google.com.br/citations?user=Fc2hY1AAAAAJ</t>
  </si>
  <si>
    <t xml:space="preserve">https://scholar.google.com.br/citations?user=IA70H1UAAAAJ</t>
  </si>
  <si>
    <t xml:space="preserve">https://scholar.google.com.br/citations?user=XF-fXTAAAAAJ</t>
  </si>
  <si>
    <t xml:space="preserve">https://scholar.google.com.br/citations?user=KLgK4c4AAAAJ</t>
  </si>
  <si>
    <t xml:space="preserve">https://www.scopus.com/authid/detail.uri?authorId=32867459900</t>
  </si>
  <si>
    <t xml:space="preserve">https://www.scopus.com/authid/detail.uri?authorId=57205767413</t>
  </si>
  <si>
    <t xml:space="preserve">https://www.scopus.com/authid/detail.uri?authorId=6506097045</t>
  </si>
  <si>
    <t xml:space="preserve">https://www.scopus.com/authid/detail.uri?authorId=33368211600</t>
  </si>
  <si>
    <t xml:space="preserve">https://www.scopus.com/authid/detail.uri?authorId=55953969800</t>
  </si>
  <si>
    <t xml:space="preserve">https://www.scopus.com/authid/detail.uri?authorId=57204646715</t>
  </si>
  <si>
    <t xml:space="preserve">https://www.scopus.com/authid/detail.uri?authorId=57076135000</t>
  </si>
  <si>
    <t xml:space="preserve">https://www.scopus.com/authid/detail.uri?authorId=56119522800</t>
  </si>
  <si>
    <t xml:space="preserve">https://www.scopus.com/authid/detail.uri?authorId=36175635600</t>
  </si>
  <si>
    <t xml:space="preserve">https://www.scopus.com/authid/detail.uri?authorId=56121141300</t>
  </si>
  <si>
    <t xml:space="preserve">https://www.scopus.com/authid/detail.uri?authorId=56019958100</t>
  </si>
  <si>
    <t xml:space="preserve">https://www.scopus.com/authid/detail.uri?authorId=6603959869</t>
  </si>
  <si>
    <t xml:space="preserve">https://www.scopus.com/authid/detail.uri?authorId=15753781000</t>
  </si>
  <si>
    <t xml:space="preserve">https://www.scopus.com/authid/detail.uri?authorId=56160998600</t>
  </si>
  <si>
    <t xml:space="preserve">ResearchID/Publons</t>
  </si>
  <si>
    <t xml:space="preserve">http://www.researcherid.com/rid/P-4281-2016</t>
  </si>
  <si>
    <t xml:space="preserve">https://publons.com/researcher/5118168/diogo-silveira-mendonca</t>
  </si>
  <si>
    <t xml:space="preserve">http://www.researcherid.com/rid/H-2402-2018</t>
  </si>
  <si>
    <t xml:space="preserve">http://www.researcherid.com/rid/N-6438-2014</t>
  </si>
  <si>
    <t xml:space="preserve">http://www.researcherid.com/rid/AAC-4169-2019</t>
  </si>
  <si>
    <t xml:space="preserve">https://publons.com/researcher/V-2663-2018/</t>
  </si>
  <si>
    <t xml:space="preserve">http://www.researcherid.com/rid/H-3227-2018</t>
  </si>
  <si>
    <t xml:space="preserve">http://www.researcherid.com/rid/O-8069-2016</t>
  </si>
  <si>
    <t xml:space="preserve">http://www.researcherid.com/rid/O-6246-2016</t>
  </si>
  <si>
    <t xml:space="preserve">http://www.researcherid.com/rid/A-5553-2018</t>
  </si>
  <si>
    <t xml:space="preserve">http://www.researcherid.com/rid/H-3218-2018</t>
  </si>
  <si>
    <t xml:space="preserve">http://www.researcherid.com/rid/O-3981-2018</t>
  </si>
  <si>
    <t xml:space="preserve">http://www.researcherid.com/rid/F-6102-2015</t>
  </si>
  <si>
    <t xml:space="preserve">http://www.researcherid.com/rid/Q-4514-2017</t>
  </si>
  <si>
    <t xml:space="preserve">NOME</t>
  </si>
  <si>
    <t xml:space="preserve">SITUAÇÃO</t>
  </si>
  <si>
    <t xml:space="preserve">ATUALIZADO EM:</t>
  </si>
  <si>
    <t xml:space="preserve">ABEL SOARES DE QUEIROZ JUNIOR</t>
  </si>
  <si>
    <t xml:space="preserve">Desligado</t>
  </si>
  <si>
    <t xml:space="preserve">Formado</t>
  </si>
  <si>
    <t xml:space="preserve">ADRIELE CELINA SILVA DE MEDEIROS RIBEIRO</t>
  </si>
  <si>
    <t xml:space="preserve">ALEXANDER BARROS DA SILVA</t>
  </si>
  <si>
    <t xml:space="preserve">Ativo</t>
  </si>
  <si>
    <t xml:space="preserve">ALEXANDRE EMILIO MANHÃES PARDELINHA</t>
  </si>
  <si>
    <t xml:space="preserve">ANA ELISA DO NASCIMENTO BRAZ</t>
  </si>
  <si>
    <t xml:space="preserve">ANDERSON DE FARIA PINTO</t>
  </si>
  <si>
    <t xml:space="preserve">ANDERSON NASCIMENTO MANHÃES</t>
  </si>
  <si>
    <t xml:space="preserve">ANDRÉ CARLOS TEIXEIRA VASCONCELOS</t>
  </si>
  <si>
    <t xml:space="preserve">ANDRÉ LUÍS NUNES</t>
  </si>
  <si>
    <t xml:space="preserve">ANDREA CARLA VARGAS RODRIGUES</t>
  </si>
  <si>
    <t xml:space="preserve">ANGELLICA CARDOSO DE ARAUJO</t>
  </si>
  <si>
    <t xml:space="preserve">ARTHUR SILVEIRA</t>
  </si>
  <si>
    <t xml:space="preserve">AUGUSTO JOSÉ MOREIRA DA FONSECA</t>
  </si>
  <si>
    <t xml:space="preserve">AUGUSTO MAGALHÃES PINTO DE MENDONÇA</t>
  </si>
  <si>
    <t xml:space="preserve">BRUNO DAS NEVES CUSTÓDIO</t>
  </si>
  <si>
    <t xml:space="preserve">CAROLINA ZAMITH CUNHA</t>
  </si>
  <si>
    <t xml:space="preserve">CRISTIANE GEA</t>
  </si>
  <si>
    <t xml:space="preserve">DANIELLE RODRIGUES PINNA</t>
  </si>
  <si>
    <t xml:space="preserve">DAVI BORTOLOTTI BATISTA</t>
  </si>
  <si>
    <t xml:space="preserve">DIEGO GUIMARAES PEREIRA</t>
  </si>
  <si>
    <t xml:space="preserve">DIEGO SILVA DE SALLES</t>
  </si>
  <si>
    <t xml:space="preserve">EDUARDO PRIMO DE SOUZA</t>
  </si>
  <si>
    <t xml:space="preserve">ÉRICA CARNEIRO QUEIROZ DA SILVA</t>
  </si>
  <si>
    <t xml:space="preserve">FELIPE DE AVILA TAVARES</t>
  </si>
  <si>
    <t xml:space="preserve">FELIPE DE PAULA NOBREGA SENA DA SILVA</t>
  </si>
  <si>
    <t xml:space="preserve">FELIPE MELLO FONSECA</t>
  </si>
  <si>
    <t xml:space="preserve">FELIPE OLIVEIRA FEDER</t>
  </si>
  <si>
    <t xml:space="preserve">FLAVIO PINHEIRO MARQUES</t>
  </si>
  <si>
    <t xml:space="preserve">GABRIEL EDUARDO FEITOSA LIMA</t>
  </si>
  <si>
    <t xml:space="preserve">GABRIEL PORTUGAL GUADELUPE DOS SANTOS</t>
  </si>
  <si>
    <t xml:space="preserve">GABRIELLE DA SILVA PEREIRA</t>
  </si>
  <si>
    <t xml:space="preserve">IRAN DE ALVARENGA CIDADE</t>
  </si>
  <si>
    <t xml:space="preserve">IVAIR NOBREGA LUQUES</t>
  </si>
  <si>
    <t xml:space="preserve">IVSON GONÇALVES DA SILVA</t>
  </si>
  <si>
    <t xml:space="preserve">JANIO DE SOUZA LIMA</t>
  </si>
  <si>
    <t xml:space="preserve">JÉSSICA DA SILVA COSTA</t>
  </si>
  <si>
    <t xml:space="preserve">JOÃO VICTOR GUINELLI DA SILVA</t>
  </si>
  <si>
    <t xml:space="preserve">JORGE EUGENIO MEDEIROS ANSELMO</t>
  </si>
  <si>
    <t xml:space="preserve">KARINA BRANDÃO CANDIDO DA SILVA</t>
  </si>
  <si>
    <t xml:space="preserve">LEANDRO DE SOUZA LIMA CHERNICHARO</t>
  </si>
  <si>
    <t xml:space="preserve">LEON VICTOR MEDEIROS DE LIMA</t>
  </si>
  <si>
    <t xml:space="preserve">LISS DE FATIMA FRANCOISE MOREIRA GRILLO FAULHABER</t>
  </si>
  <si>
    <t xml:space="preserve">LUCAS FERREIRA PINHEIRO</t>
  </si>
  <si>
    <t xml:space="preserve">LUCAS GIUSTI TAVARES</t>
  </si>
  <si>
    <t xml:space="preserve">LUCAS VITAL MOREIRA</t>
  </si>
  <si>
    <t xml:space="preserve">LUCIANA DA COSTA VARJOLO</t>
  </si>
  <si>
    <t xml:space="preserve">LUIS BARBOSA DE ASSIS JUNIOR</t>
  </si>
  <si>
    <t xml:space="preserve">LUIS CARLOS RAMOS ALVARENGA</t>
  </si>
  <si>
    <t xml:space="preserve">LUIZ AUGUSTO DE SOUZA PERCILIANO</t>
  </si>
  <si>
    <t xml:space="preserve">LUIZ GUSTAVO MILFONT PEREIRA</t>
  </si>
  <si>
    <t xml:space="preserve">LUIZ VITOR TAVARES VAZ FERREIRA</t>
  </si>
  <si>
    <t xml:space="preserve">MANOEL GUILHERME DE FARIA MORAES</t>
  </si>
  <si>
    <t xml:space="preserve">MARCELLO ALBERTO SOARES SERQUEIRA</t>
  </si>
  <si>
    <t xml:space="preserve">MARCELO LUÍS MOREIRA</t>
  </si>
  <si>
    <t xml:space="preserve">MARCIO LOPES GONZALEZ</t>
  </si>
  <si>
    <t xml:space="preserve">MATEUS DO AMOR DEVINO PEREIRA</t>
  </si>
  <si>
    <t xml:space="preserve">MICHEL MORAIS FERREIRA</t>
  </si>
  <si>
    <t xml:space="preserve">NADINNE GUIMARAES HOLANDA</t>
  </si>
  <si>
    <t xml:space="preserve">NATÁLIA NUNES VIEIRA</t>
  </si>
  <si>
    <t xml:space="preserve">PAULO JOSÉ DE CASTRO PESTANA JUNIOR</t>
  </si>
  <si>
    <t xml:space="preserve">PEDRO FONTES MONTANO</t>
  </si>
  <si>
    <t xml:space="preserve">RAFAEL ASSIS MELLO PEREIRA DIAS</t>
  </si>
  <si>
    <t xml:space="preserve">RAPHAEL CORREIA DE SOUZA FIALHO</t>
  </si>
  <si>
    <t xml:space="preserve">RAPHAEL DANTAS DE OLIVEIRA PEREIRA</t>
  </si>
  <si>
    <t xml:space="preserve">RAPHAEL DO NASCIMENTO MARTNS</t>
  </si>
  <si>
    <t xml:space="preserve">RENATA FONSECA DA SILVA</t>
  </si>
  <si>
    <t xml:space="preserve">RIBAMAR SANTOS FERREIRA MATIAS</t>
  </si>
  <si>
    <t xml:space="preserve">RICARDO LUIZ PEREIRA MACEIRA</t>
  </si>
  <si>
    <t xml:space="preserve">ROBERTO DA SILVA GERVASIO PONTES</t>
  </si>
  <si>
    <t xml:space="preserve">RODRIGO PEREIRA HAMACHER</t>
  </si>
  <si>
    <t xml:space="preserve">RYAN DUTRA DE ABREU</t>
  </si>
  <si>
    <t xml:space="preserve">SARAH RIBEIRO LISBOA CARNEIRO</t>
  </si>
  <si>
    <t xml:space="preserve">SÉRGIO LUIZ MOORE JUNIOR</t>
  </si>
  <si>
    <t xml:space="preserve">SIDICLEY GONÇALVES BARBOSA</t>
  </si>
  <si>
    <t xml:space="preserve">SIDNEY BASTOS PEREIRA MOTTA</t>
  </si>
  <si>
    <t xml:space="preserve">SOLANGE SANTOLIN</t>
  </si>
  <si>
    <t xml:space="preserve">TACITO BRAGA ARARIPE</t>
  </si>
  <si>
    <t xml:space="preserve">THIAGO BARRAL FERNANDES REIS</t>
  </si>
  <si>
    <t xml:space="preserve">THIAGO SOARES DE PAULA</t>
  </si>
  <si>
    <t xml:space="preserve">URIEL MEROLA MINAGÉ E SILVA</t>
  </si>
  <si>
    <t xml:space="preserve">VINICIUS DOS SANTOS VANCELLOTE ALMEIDA</t>
  </si>
  <si>
    <t xml:space="preserve">VINICIUS SOARES DOS SANTOS</t>
  </si>
  <si>
    <t xml:space="preserve">WELLINGTON SOUZA AMARAL</t>
  </si>
  <si>
    <t xml:space="preserve">WILLIAN PITTER CARDOSO LIMA</t>
  </si>
  <si>
    <t xml:space="preserve">WILSON PAZ DA SILVA</t>
  </si>
  <si>
    <t xml:space="preserve">WLADIMIR WANDERLEY PEREIRA</t>
  </si>
  <si>
    <t xml:space="preserve">ANOS</t>
  </si>
  <si>
    <t xml:space="preserve">Permanente</t>
  </si>
  <si>
    <t xml:space="preserve">2016 - </t>
  </si>
  <si>
    <t xml:space="preserve">-</t>
  </si>
  <si>
    <t xml:space="preserve">2016 - 2021</t>
  </si>
  <si>
    <t xml:space="preserve">Colaborador</t>
  </si>
  <si>
    <t xml:space="preserve">2021 - </t>
  </si>
  <si>
    <t xml:space="preserve">2020 - </t>
  </si>
  <si>
    <t xml:space="preserve">João Quadros</t>
  </si>
  <si>
    <t xml:space="preserve">Joel Santos</t>
  </si>
  <si>
    <t xml:space="preserve">Laura Assis</t>
  </si>
  <si>
    <t xml:space="preserve">Leonardo Lima</t>
  </si>
  <si>
    <t xml:space="preserve">2019 - </t>
  </si>
  <si>
    <t xml:space="preserve">Raphael Machado</t>
  </si>
  <si>
    <t xml:space="preserve">2016 - 2020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</si>
</sst>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"/>
    <numFmt numFmtId="167" formatCode="0"/>
    <numFmt numFmtId="168" formatCode="0%"/>
    <numFmt numFmtId="169" formatCode="0.0"/>
    <numFmt numFmtId="170" formatCode="0.000"/>
    <numFmt numFmtId="171" formatCode="@"/>
    <numFmt numFmtId="172" formatCode="m/d/yyyy"/>
  </numFmts>
  <fonts count="22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2"/>
      <color theme="4" tint="-0.25"/>
      <name val="Calibri"/>
      <family val="2"/>
      <charset val="1"/>
    </font>
    <font>
      <sz val="12"/>
      <color theme="4" tint="-0.25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Cambria"/>
      <family val="0"/>
      <charset val="1"/>
    </font>
    <font>
      <sz val="10"/>
      <name val="Arial"/>
      <family val="2"/>
    </font>
    <font>
      <sz val="11"/>
      <color theme="1"/>
      <name val="Calibri"/>
      <family val="2"/>
      <charset val="1"/>
    </font>
    <font>
      <b val="true"/>
      <sz val="11"/>
      <color theme="4" tint="-0.25"/>
      <name val="Calibri"/>
      <family val="2"/>
      <charset val="1"/>
    </font>
    <font>
      <sz val="11"/>
      <color theme="4" tint="-0.25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0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2CC"/>
      </patternFill>
    </fill>
    <fill>
      <patternFill patternType="solid">
        <fgColor theme="2"/>
        <bgColor rgb="FFDAE3F3"/>
      </patternFill>
    </fill>
    <fill>
      <patternFill patternType="solid">
        <fgColor theme="7" tint="0.7999"/>
        <bgColor rgb="FFE7E6E6"/>
      </patternFill>
    </fill>
    <fill>
      <patternFill patternType="solid">
        <fgColor theme="4" tint="0.7999"/>
        <bgColor rgb="FFE7E6E6"/>
      </patternFill>
    </fill>
    <fill>
      <patternFill patternType="solid">
        <fgColor rgb="FFFF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rgb="FF4472C4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>
        <color theme="4"/>
      </top>
      <bottom/>
      <diagonal/>
    </border>
    <border diagonalUp="false" diagonalDown="false">
      <left/>
      <right/>
      <top/>
      <bottom style="thin">
        <color theme="4"/>
      </bottom>
      <diagonal/>
    </border>
    <border diagonalUp="false" diagonalDown="false">
      <left/>
      <right/>
      <top/>
      <bottom style="thin">
        <color theme="3"/>
      </bottom>
      <diagonal/>
    </border>
    <border diagonalUp="false" diagonalDown="false">
      <left style="thin">
        <color theme="0"/>
      </left>
      <right/>
      <top style="thin">
        <color theme="4"/>
      </top>
      <bottom/>
      <diagonal/>
    </border>
    <border diagonalUp="false" diagonalDown="false">
      <left/>
      <right/>
      <top style="thin">
        <color theme="4"/>
      </top>
      <bottom style="thin">
        <color theme="4"/>
      </bottom>
      <diagonal/>
    </border>
    <border diagonalUp="false" diagonalDown="false">
      <left/>
      <right style="thin">
        <color theme="0"/>
      </right>
      <top style="thin">
        <color theme="4"/>
      </top>
      <bottom style="thin">
        <color theme="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right" vertical="bottom" textRotation="9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9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6" fontId="10" fillId="3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7" fontId="10" fillId="3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7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9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ont>
        <color rgb="FFFFFFFF"/>
      </font>
    </dxf>
    <dxf>
      <fill>
        <patternFill patternType="solid">
          <fgColor rgb="FF5B9BD5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7E6E6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4546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Artigos por estrato Qualis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Planejamento!$AB$3</c:f>
              <c:strCache>
                <c:ptCount val="1"/>
                <c:pt idx="0">
                  <c:v>Peródicos</c:v>
                </c:pt>
              </c:strCache>
            </c:strRef>
          </c:tx>
          <c:spPr>
            <a:solidFill>
              <a:srgbClr val="c0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Planejamento!$AA$4:$AA$12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NA</c:v>
                </c:pt>
              </c:strCache>
            </c:strRef>
          </c:cat>
          <c:val>
            <c:numRef>
              <c:f>Planejamento!$AB$4:$AB$12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Planejamento!$AC$3</c:f>
              <c:strCache>
                <c:ptCount val="1"/>
                <c:pt idx="0">
                  <c:v>Eventos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Planejamento!$AA$4:$AA$12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NA</c:v>
                </c:pt>
              </c:strCache>
            </c:strRef>
          </c:cat>
          <c:val>
            <c:numRef>
              <c:f>Planejamento!$AC$4:$AC$12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100"/>
        <c:axId val="57800694"/>
        <c:axId val="52575410"/>
      </c:barChart>
      <c:catAx>
        <c:axId val="578006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75410"/>
        <c:crosses val="autoZero"/>
        <c:auto val="1"/>
        <c:lblAlgn val="ctr"/>
        <c:lblOffset val="100"/>
        <c:noMultiLvlLbl val="0"/>
      </c:catAx>
      <c:valAx>
        <c:axId val="52575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80069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Artigos c/ discente por estrato Qualis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Planejamento!$AB$3</c:f>
              <c:strCache>
                <c:ptCount val="1"/>
                <c:pt idx="0">
                  <c:v>Peródicos</c:v>
                </c:pt>
              </c:strCache>
            </c:strRef>
          </c:tx>
          <c:spPr>
            <a:solidFill>
              <a:srgbClr val="c0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Planejamento!$AA$19:$AA$27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NA</c:v>
                </c:pt>
              </c:strCache>
            </c:strRef>
          </c:cat>
          <c:val>
            <c:numRef>
              <c:f>Planejamento!$AB$19:$AB$27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Planejamento!$AC$3</c:f>
              <c:strCache>
                <c:ptCount val="1"/>
                <c:pt idx="0">
                  <c:v>Eventos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Planejamento!$AA$19:$AA$27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NA</c:v>
                </c:pt>
              </c:strCache>
            </c:strRef>
          </c:cat>
          <c:val>
            <c:numRef>
              <c:f>Planejamento!$AC$19:$AC$27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100"/>
        <c:axId val="45716581"/>
        <c:axId val="6365259"/>
      </c:barChart>
      <c:catAx>
        <c:axId val="457165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5259"/>
        <c:crosses val="autoZero"/>
        <c:auto val="1"/>
        <c:lblAlgn val="ctr"/>
        <c:lblOffset val="100"/>
        <c:noMultiLvlLbl val="0"/>
      </c:catAx>
      <c:valAx>
        <c:axId val="6365259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165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428760</xdr:colOff>
      <xdr:row>1</xdr:row>
      <xdr:rowOff>84240</xdr:rowOff>
    </xdr:from>
    <xdr:to>
      <xdr:col>34</xdr:col>
      <xdr:colOff>780840</xdr:colOff>
      <xdr:row>14</xdr:row>
      <xdr:rowOff>172080</xdr:rowOff>
    </xdr:to>
    <xdr:graphicFrame>
      <xdr:nvGraphicFramePr>
        <xdr:cNvPr id="0" name="Chart 1"/>
        <xdr:cNvGraphicFramePr/>
      </xdr:nvGraphicFramePr>
      <xdr:xfrm>
        <a:off x="24865560" y="284400"/>
        <a:ext cx="4565160" cy="26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380880</xdr:colOff>
      <xdr:row>15</xdr:row>
      <xdr:rowOff>136080</xdr:rowOff>
    </xdr:from>
    <xdr:to>
      <xdr:col>34</xdr:col>
      <xdr:colOff>732960</xdr:colOff>
      <xdr:row>29</xdr:row>
      <xdr:rowOff>20160</xdr:rowOff>
    </xdr:to>
    <xdr:graphicFrame>
      <xdr:nvGraphicFramePr>
        <xdr:cNvPr id="1" name="Chart 2"/>
        <xdr:cNvGraphicFramePr/>
      </xdr:nvGraphicFramePr>
      <xdr:xfrm>
        <a:off x="24817680" y="3136320"/>
        <a:ext cx="4565160" cy="268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scholar.google.com.br/citations?user=pBQVTUkAAAAJ" TargetMode="External"/><Relationship Id="rId2" Type="http://schemas.openxmlformats.org/officeDocument/2006/relationships/hyperlink" Target="https://scholar.google.com/citations?user=bwkYcu4AAAAJ&amp;hl=pt-BR" TargetMode="External"/><Relationship Id="rId3" Type="http://schemas.openxmlformats.org/officeDocument/2006/relationships/hyperlink" Target="https://scholar.google.com.br/citations?user=WQflRMIAAAAJ" TargetMode="External"/><Relationship Id="rId4" Type="http://schemas.openxmlformats.org/officeDocument/2006/relationships/hyperlink" Target="https://scholar.google.com.br/citations?user=uloLWtgAAAAJ" TargetMode="External"/><Relationship Id="rId5" Type="http://schemas.openxmlformats.org/officeDocument/2006/relationships/hyperlink" Target="https://scholar.google.com.br/citations?user=kJT37q4AAAAJ" TargetMode="External"/><Relationship Id="rId6" Type="http://schemas.openxmlformats.org/officeDocument/2006/relationships/hyperlink" Target="https://scholar.google.com/citations?user=pNL2V2sAAAAJ" TargetMode="External"/><Relationship Id="rId7" Type="http://schemas.openxmlformats.org/officeDocument/2006/relationships/hyperlink" Target="https://scholar.google.com.br/citations?user=nZfS3qoAAAAJ" TargetMode="External"/><Relationship Id="rId8" Type="http://schemas.openxmlformats.org/officeDocument/2006/relationships/hyperlink" Target="https://scholar.google.com.br/citations?user=4AwT7X8AAAAJ" TargetMode="External"/><Relationship Id="rId9" Type="http://schemas.openxmlformats.org/officeDocument/2006/relationships/hyperlink" Target="https://scholar.google.com.br/citations?user=fYjzAYMAAAAJ" TargetMode="External"/><Relationship Id="rId10" Type="http://schemas.openxmlformats.org/officeDocument/2006/relationships/hyperlink" Target="https://scholar.google.com.br/citations?user=nz-6EN4AAAAJ" TargetMode="External"/><Relationship Id="rId11" Type="http://schemas.openxmlformats.org/officeDocument/2006/relationships/hyperlink" Target="https://scholar.google.com.br/citations?user=Fc2hY1AAAAAJ" TargetMode="External"/><Relationship Id="rId12" Type="http://schemas.openxmlformats.org/officeDocument/2006/relationships/hyperlink" Target="https://scholar.google.com.br/citations?user=IA70H1UAAAAJ" TargetMode="External"/><Relationship Id="rId13" Type="http://schemas.openxmlformats.org/officeDocument/2006/relationships/hyperlink" Target="https://scholar.google.com.br/citations?user=XF-fXTAAAAAJ" TargetMode="External"/><Relationship Id="rId14" Type="http://schemas.openxmlformats.org/officeDocument/2006/relationships/hyperlink" Target="https://scholar.google.com.br/citations?user=KLgK4c4AAAAJ" TargetMode="External"/><Relationship Id="rId15" Type="http://schemas.openxmlformats.org/officeDocument/2006/relationships/hyperlink" Target="https://www.scopus.com/authid/detail.uri?authorId=32867459900" TargetMode="External"/><Relationship Id="rId16" Type="http://schemas.openxmlformats.org/officeDocument/2006/relationships/hyperlink" Target="https://www.scopus.com/authid/detail.uri?authorId=57205767413" TargetMode="External"/><Relationship Id="rId17" Type="http://schemas.openxmlformats.org/officeDocument/2006/relationships/hyperlink" Target="https://www.scopus.com/authid/detail.uri?authorId=6506097045" TargetMode="External"/><Relationship Id="rId18" Type="http://schemas.openxmlformats.org/officeDocument/2006/relationships/hyperlink" Target="https://www.scopus.com/authid/detail.uri?authorId=33368211600" TargetMode="External"/><Relationship Id="rId19" Type="http://schemas.openxmlformats.org/officeDocument/2006/relationships/hyperlink" Target="https://www.scopus.com/authid/detail.uri?authorId=55953969800" TargetMode="External"/><Relationship Id="rId20" Type="http://schemas.openxmlformats.org/officeDocument/2006/relationships/hyperlink" Target="https://www.scopus.com/authid/detail.uri?authorId=57204646715" TargetMode="External"/><Relationship Id="rId21" Type="http://schemas.openxmlformats.org/officeDocument/2006/relationships/hyperlink" Target="https://www.scopus.com/authid/detail.uri?authorId=57076135000" TargetMode="External"/><Relationship Id="rId22" Type="http://schemas.openxmlformats.org/officeDocument/2006/relationships/hyperlink" Target="https://www.scopus.com/authid/detail.uri?authorId=56119522800" TargetMode="External"/><Relationship Id="rId23" Type="http://schemas.openxmlformats.org/officeDocument/2006/relationships/hyperlink" Target="https://www.scopus.com/authid/detail.uri?authorId=36175635600" TargetMode="External"/><Relationship Id="rId24" Type="http://schemas.openxmlformats.org/officeDocument/2006/relationships/hyperlink" Target="https://www.scopus.com/authid/detail.uri?authorId=56121141300" TargetMode="External"/><Relationship Id="rId25" Type="http://schemas.openxmlformats.org/officeDocument/2006/relationships/hyperlink" Target="https://www.scopus.com/authid/detail.uri?authorId=56019958100" TargetMode="External"/><Relationship Id="rId26" Type="http://schemas.openxmlformats.org/officeDocument/2006/relationships/hyperlink" Target="https://www.scopus.com/authid/detail.uri?authorId=6603959869" TargetMode="External"/><Relationship Id="rId27" Type="http://schemas.openxmlformats.org/officeDocument/2006/relationships/hyperlink" Target="https://www.scopus.com/authid/detail.uri?authorId=15753781000" TargetMode="External"/><Relationship Id="rId28" Type="http://schemas.openxmlformats.org/officeDocument/2006/relationships/hyperlink" Target="https://www.scopus.com/authid/detail.uri?authorId=56160998600" TargetMode="External"/><Relationship Id="rId29" Type="http://schemas.openxmlformats.org/officeDocument/2006/relationships/hyperlink" Target="http://www.researcherid.com/rid/P-4281-2016" TargetMode="External"/><Relationship Id="rId30" Type="http://schemas.openxmlformats.org/officeDocument/2006/relationships/hyperlink" Target="https://publons.com/researcher/5118168/diogo-silveira-mendonca" TargetMode="External"/><Relationship Id="rId31" Type="http://schemas.openxmlformats.org/officeDocument/2006/relationships/hyperlink" Target="http://www.researcherid.com/rid/H-2402-2018" TargetMode="External"/><Relationship Id="rId32" Type="http://schemas.openxmlformats.org/officeDocument/2006/relationships/hyperlink" Target="http://www.researcherid.com/rid/N-6438-2014" TargetMode="External"/><Relationship Id="rId33" Type="http://schemas.openxmlformats.org/officeDocument/2006/relationships/hyperlink" Target="http://www.researcherid.com/rid/AAC-4169-2019" TargetMode="External"/><Relationship Id="rId34" Type="http://schemas.openxmlformats.org/officeDocument/2006/relationships/hyperlink" Target="https://publons.com/researcher/V-2663-2018/" TargetMode="External"/><Relationship Id="rId35" Type="http://schemas.openxmlformats.org/officeDocument/2006/relationships/hyperlink" Target="http://www.researcherid.com/rid/H-3227-2018" TargetMode="External"/><Relationship Id="rId36" Type="http://schemas.openxmlformats.org/officeDocument/2006/relationships/hyperlink" Target="http://www.researcherid.com/rid/O-8069-2016" TargetMode="External"/><Relationship Id="rId37" Type="http://schemas.openxmlformats.org/officeDocument/2006/relationships/hyperlink" Target="http://www.researcherid.com/rid/O-6246-2016" TargetMode="External"/><Relationship Id="rId38" Type="http://schemas.openxmlformats.org/officeDocument/2006/relationships/hyperlink" Target="http://www.researcherid.com/rid/A-5553-2018" TargetMode="External"/><Relationship Id="rId39" Type="http://schemas.openxmlformats.org/officeDocument/2006/relationships/hyperlink" Target="http://www.researcherid.com/rid/H-3218-2018" TargetMode="External"/><Relationship Id="rId40" Type="http://schemas.openxmlformats.org/officeDocument/2006/relationships/hyperlink" Target="http://www.researcherid.com/rid/O-3981-2018" TargetMode="External"/><Relationship Id="rId41" Type="http://schemas.openxmlformats.org/officeDocument/2006/relationships/hyperlink" Target="http://www.researcherid.com/rid/F-6102-2015" TargetMode="External"/><Relationship Id="rId42" Type="http://schemas.openxmlformats.org/officeDocument/2006/relationships/hyperlink" Target="http://www.researcherid.com/rid/Q-4514-2017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C4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O33" activeCellId="0" sqref="O33"/>
    </sheetView>
  </sheetViews>
  <sheetFormatPr defaultColWidth="10.87890625" defaultRowHeight="15.75" zeroHeight="false" outlineLevelRow="0" outlineLevelCol="0"/>
  <cols>
    <col collapsed="false" customWidth="false" hidden="false" outlineLevel="0" max="16384" min="1" style="1" width="10.88"/>
  </cols>
  <sheetData>
    <row r="2" customFormat="false" ht="15.75" hidden="false" customHeight="true" outlineLevel="0" collapsed="false">
      <c r="C2" s="2" t="s">
        <v>0</v>
      </c>
      <c r="D2" s="2"/>
      <c r="E2" s="2" t="n">
        <v>2021</v>
      </c>
      <c r="F2" s="2"/>
      <c r="G2" s="2" t="n">
        <v>2022</v>
      </c>
      <c r="H2" s="2"/>
      <c r="I2" s="2" t="n">
        <v>2023</v>
      </c>
      <c r="J2" s="2"/>
      <c r="K2" s="2" t="n">
        <v>2024</v>
      </c>
      <c r="L2" s="2"/>
      <c r="O2" s="2" t="s">
        <v>0</v>
      </c>
      <c r="P2" s="2"/>
      <c r="Q2" s="2" t="n">
        <v>2021</v>
      </c>
      <c r="R2" s="2"/>
      <c r="S2" s="2" t="n">
        <v>2022</v>
      </c>
      <c r="T2" s="2"/>
      <c r="U2" s="2" t="n">
        <v>2023</v>
      </c>
      <c r="V2" s="2"/>
      <c r="W2" s="2" t="n">
        <v>2024</v>
      </c>
      <c r="X2" s="2"/>
    </row>
    <row r="3" customFormat="false" ht="15.75" hidden="false" customHeight="true" outlineLevel="0" collapsed="false">
      <c r="B3" s="3"/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N3" s="3"/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  <c r="V3" s="2" t="s">
        <v>2</v>
      </c>
      <c r="W3" s="2" t="s">
        <v>3</v>
      </c>
      <c r="X3" s="2" t="s">
        <v>2</v>
      </c>
      <c r="AA3" s="3"/>
      <c r="AB3" s="2" t="s">
        <v>4</v>
      </c>
      <c r="AC3" s="2" t="s">
        <v>5</v>
      </c>
    </row>
    <row r="4" customFormat="false" ht="15.75" hidden="false" customHeight="true" outlineLevel="0" collapsed="false">
      <c r="B4" s="4" t="s">
        <v>6</v>
      </c>
      <c r="C4" s="4" t="n">
        <f aca="false">COUNTIF(Conferencias!$F:$F,$B4)</f>
        <v>0</v>
      </c>
      <c r="D4" s="4" t="n">
        <f aca="false">COUNTIFS(Conferencias!$F:$F,$B4,Conferencias!$I:$I,1)</f>
        <v>0</v>
      </c>
      <c r="E4" s="4" t="n">
        <f aca="false">COUNTIFS(Conferencias!$F:$F,$B4,Conferencias!$A:$A,$E$2)</f>
        <v>0</v>
      </c>
      <c r="F4" s="4" t="n">
        <f aca="false">COUNTIFS(Conferencias!$F:$F,$B4,Conferencias!$I:$I,1,Conferencias!$A:$A,$E$2)</f>
        <v>0</v>
      </c>
      <c r="G4" s="4" t="n">
        <f aca="false">COUNTIFS(Conferencias!$F:$F,$B4,Conferencias!$A:$A,G$2)</f>
        <v>0</v>
      </c>
      <c r="H4" s="4" t="n">
        <f aca="false">COUNTIFS(Conferencias!$F:$F,$B4,Conferencias!$I:$I,1,Conferencias!$A:$A,G$2)</f>
        <v>0</v>
      </c>
      <c r="I4" s="4" t="n">
        <f aca="false">COUNTIFS(Conferencias!$F:$F,$B4,Conferencias!$A:$A,I$2)</f>
        <v>0</v>
      </c>
      <c r="J4" s="4" t="n">
        <f aca="false">COUNTIFS(Conferencias!$F:$F,$B4,Conferencias!$I:$I,1,Conferencias!$A:$A,I$2)</f>
        <v>0</v>
      </c>
      <c r="K4" s="4" t="n">
        <f aca="false">COUNTIFS(Conferencias!$F:$F,$B4,Conferencias!$A:$A,K$2)</f>
        <v>0</v>
      </c>
      <c r="L4" s="4" t="n">
        <f aca="false">COUNTIFS(Conferencias!$F:$F,$B4,Conferencias!$I:$I,1,Conferencias!$A:$A,K$2)</f>
        <v>0</v>
      </c>
      <c r="N4" s="4" t="s">
        <v>6</v>
      </c>
      <c r="O4" s="5" t="n">
        <f aca="false">COUNTIF(Periodicos!$F:$F,$N4)</f>
        <v>2</v>
      </c>
      <c r="P4" s="5" t="n">
        <f aca="false">COUNTIFS(Periodicos!$F:$F,$N4,Periodicos!$I:$I,1)</f>
        <v>0</v>
      </c>
      <c r="Q4" s="5" t="n">
        <f aca="false">COUNTIFS(Periodicos!$F:$F,$N4,Periodicos!$A:$A,Q$2)</f>
        <v>0</v>
      </c>
      <c r="R4" s="5" t="n">
        <f aca="false">COUNTIFS(Periodicos!$F:$F,$N4,Periodicos!$I:$I,1,Periodicos!$A:$A,Q$2)</f>
        <v>0</v>
      </c>
      <c r="S4" s="5" t="n">
        <f aca="false">COUNTIFS(Periodicos!$F:$F,$N4,Periodicos!$A:$A,S$2)</f>
        <v>0</v>
      </c>
      <c r="T4" s="5" t="n">
        <f aca="false">COUNTIFS(Periodicos!$F:$F,$N4,Periodicos!$I:$I,1,Periodicos!$A:$A,S$2)</f>
        <v>0</v>
      </c>
      <c r="U4" s="5" t="n">
        <f aca="false">COUNTIFS(Periodicos!$F:$F,$N4,Periodicos!$A:$A,U$2)</f>
        <v>0</v>
      </c>
      <c r="V4" s="5" t="n">
        <f aca="false">COUNTIFS(Periodicos!$F:$F,$N4,Periodicos!$I:$I,1,Periodicos!$A:$A,U$2)</f>
        <v>0</v>
      </c>
      <c r="W4" s="5" t="n">
        <f aca="false">COUNTIFS(Periodicos!$F:$F,$N4,Periodicos!$A:$A,W$2)</f>
        <v>0</v>
      </c>
      <c r="X4" s="5" t="n">
        <f aca="false">COUNTIFS(Periodicos!$F:$F,$N4,Periodicos!$I:$I,1,Periodicos!$A:$A,W$2)</f>
        <v>0</v>
      </c>
      <c r="AA4" s="5" t="s">
        <v>6</v>
      </c>
      <c r="AB4" s="5" t="n">
        <f aca="false">O4</f>
        <v>2</v>
      </c>
      <c r="AC4" s="5" t="n">
        <f aca="false">C4</f>
        <v>0</v>
      </c>
    </row>
    <row r="5" customFormat="false" ht="15.75" hidden="false" customHeight="true" outlineLevel="0" collapsed="false">
      <c r="B5" s="4" t="s">
        <v>7</v>
      </c>
      <c r="C5" s="4" t="n">
        <f aca="false">COUNTIF(Conferencias!$F:$F,$B5)</f>
        <v>0</v>
      </c>
      <c r="D5" s="4" t="n">
        <f aca="false">COUNTIFS(Conferencias!$F:$F,$B5,Conferencias!$I:$I,1)</f>
        <v>0</v>
      </c>
      <c r="E5" s="4" t="n">
        <f aca="false">COUNTIFS(Conferencias!$F:$F,$B5,Conferencias!$A:$A,$E$2)</f>
        <v>0</v>
      </c>
      <c r="F5" s="4" t="n">
        <f aca="false">COUNTIFS(Conferencias!$F:$F,$B5,Conferencias!$I:$I,1,Conferencias!$A:$A,$E$2)</f>
        <v>0</v>
      </c>
      <c r="G5" s="4" t="n">
        <f aca="false">COUNTIFS(Conferencias!$F:$F,$B5,Conferencias!$A:$A,G$2)</f>
        <v>0</v>
      </c>
      <c r="H5" s="4" t="n">
        <f aca="false">COUNTIFS(Conferencias!$F:$F,$B5,Conferencias!$I:$I,1,Conferencias!$A:$A,G$2)</f>
        <v>0</v>
      </c>
      <c r="I5" s="4" t="n">
        <f aca="false">COUNTIFS(Conferencias!$F:$F,$B5,Conferencias!$A:$A,I$2)</f>
        <v>0</v>
      </c>
      <c r="J5" s="4" t="n">
        <f aca="false">COUNTIFS(Conferencias!$F:$F,$B5,Conferencias!$I:$I,1,Conferencias!$A:$A,I$2)</f>
        <v>0</v>
      </c>
      <c r="K5" s="4" t="n">
        <f aca="false">COUNTIFS(Conferencias!$F:$F,$B5,Conferencias!$A:$A,K$2)</f>
        <v>0</v>
      </c>
      <c r="L5" s="4" t="n">
        <f aca="false">COUNTIFS(Conferencias!$F:$F,$B5,Conferencias!$I:$I,1,Conferencias!$A:$A,K$2)</f>
        <v>0</v>
      </c>
      <c r="N5" s="4" t="s">
        <v>7</v>
      </c>
      <c r="O5" s="5" t="n">
        <f aca="false">COUNTIF(Periodicos!$F:$F,$N5)</f>
        <v>4</v>
      </c>
      <c r="P5" s="5" t="n">
        <f aca="false">COUNTIFS(Periodicos!$F:$F,$N5,Periodicos!$I:$I,1)</f>
        <v>0</v>
      </c>
      <c r="Q5" s="5" t="n">
        <f aca="false">COUNTIFS(Periodicos!$F:$F,$N5,Periodicos!$A:$A,Q$2)</f>
        <v>0</v>
      </c>
      <c r="R5" s="5" t="n">
        <f aca="false">COUNTIFS(Periodicos!$F:$F,$N5,Periodicos!$I:$I,1,Periodicos!$A:$A,Q$2)</f>
        <v>0</v>
      </c>
      <c r="S5" s="5" t="n">
        <f aca="false">COUNTIFS(Periodicos!$F:$F,$N5,Periodicos!$A:$A,S$2)</f>
        <v>0</v>
      </c>
      <c r="T5" s="5" t="n">
        <f aca="false">COUNTIFS(Periodicos!$F:$F,$N5,Periodicos!$I:$I,1,Periodicos!$A:$A,S$2)</f>
        <v>0</v>
      </c>
      <c r="U5" s="5" t="n">
        <f aca="false">COUNTIFS(Periodicos!$F:$F,$N5,Periodicos!$A:$A,U$2)</f>
        <v>0</v>
      </c>
      <c r="V5" s="5" t="n">
        <f aca="false">COUNTIFS(Periodicos!$F:$F,$N5,Periodicos!$I:$I,1,Periodicos!$A:$A,U$2)</f>
        <v>0</v>
      </c>
      <c r="W5" s="5" t="n">
        <f aca="false">COUNTIFS(Periodicos!$F:$F,$N5,Periodicos!$A:$A,W$2)</f>
        <v>0</v>
      </c>
      <c r="X5" s="5" t="n">
        <f aca="false">COUNTIFS(Periodicos!$F:$F,$N5,Periodicos!$I:$I,1,Periodicos!$A:$A,W$2)</f>
        <v>0</v>
      </c>
      <c r="AA5" s="5" t="s">
        <v>7</v>
      </c>
      <c r="AB5" s="5" t="n">
        <f aca="false">O5</f>
        <v>4</v>
      </c>
      <c r="AC5" s="5" t="n">
        <f aca="false">C5</f>
        <v>0</v>
      </c>
    </row>
    <row r="6" customFormat="false" ht="15.75" hidden="false" customHeight="true" outlineLevel="0" collapsed="false">
      <c r="B6" s="4" t="s">
        <v>8</v>
      </c>
      <c r="C6" s="4" t="n">
        <f aca="false">COUNTIF(Conferencias!$F:$F,$B6)</f>
        <v>0</v>
      </c>
      <c r="D6" s="4" t="n">
        <f aca="false">COUNTIFS(Conferencias!$F:$F,$B6,Conferencias!$I:$I,1)</f>
        <v>0</v>
      </c>
      <c r="E6" s="4" t="n">
        <f aca="false">COUNTIFS(Conferencias!$F:$F,$B6,Conferencias!$A:$A,$E$2)</f>
        <v>0</v>
      </c>
      <c r="F6" s="4" t="n">
        <f aca="false">COUNTIFS(Conferencias!$F:$F,$B6,Conferencias!$I:$I,1,Conferencias!$A:$A,$E$2)</f>
        <v>0</v>
      </c>
      <c r="G6" s="4" t="n">
        <f aca="false">COUNTIFS(Conferencias!$F:$F,$B6,Conferencias!$A:$A,G$2)</f>
        <v>0</v>
      </c>
      <c r="H6" s="4" t="n">
        <f aca="false">COUNTIFS(Conferencias!$F:$F,$B6,Conferencias!$I:$I,1,Conferencias!$A:$A,G$2)</f>
        <v>0</v>
      </c>
      <c r="I6" s="4" t="n">
        <f aca="false">COUNTIFS(Conferencias!$F:$F,$B6,Conferencias!$A:$A,I$2)</f>
        <v>0</v>
      </c>
      <c r="J6" s="4" t="n">
        <f aca="false">COUNTIFS(Conferencias!$F:$F,$B6,Conferencias!$I:$I,1,Conferencias!$A:$A,I$2)</f>
        <v>0</v>
      </c>
      <c r="K6" s="4" t="n">
        <f aca="false">COUNTIFS(Conferencias!$F:$F,$B6,Conferencias!$A:$A,K$2)</f>
        <v>0</v>
      </c>
      <c r="L6" s="4" t="n">
        <f aca="false">COUNTIFS(Conferencias!$F:$F,$B6,Conferencias!$I:$I,1,Conferencias!$A:$A,K$2)</f>
        <v>0</v>
      </c>
      <c r="N6" s="4" t="s">
        <v>8</v>
      </c>
      <c r="O6" s="5" t="n">
        <f aca="false">COUNTIF(Periodicos!$F:$F,$N6)</f>
        <v>1</v>
      </c>
      <c r="P6" s="5" t="n">
        <f aca="false">COUNTIFS(Periodicos!$F:$F,$N6,Periodicos!$I:$I,1)</f>
        <v>0</v>
      </c>
      <c r="Q6" s="5" t="n">
        <f aca="false">COUNTIFS(Periodicos!$F:$F,$N6,Periodicos!$A:$A,Q$2)</f>
        <v>0</v>
      </c>
      <c r="R6" s="5" t="n">
        <f aca="false">COUNTIFS(Periodicos!$F:$F,$N6,Periodicos!$I:$I,1,Periodicos!$A:$A,Q$2)</f>
        <v>0</v>
      </c>
      <c r="S6" s="5" t="n">
        <f aca="false">COUNTIFS(Periodicos!$F:$F,$N6,Periodicos!$A:$A,S$2)</f>
        <v>0</v>
      </c>
      <c r="T6" s="5" t="n">
        <f aca="false">COUNTIFS(Periodicos!$F:$F,$N6,Periodicos!$I:$I,1,Periodicos!$A:$A,S$2)</f>
        <v>0</v>
      </c>
      <c r="U6" s="5" t="n">
        <f aca="false">COUNTIFS(Periodicos!$F:$F,$N6,Periodicos!$A:$A,U$2)</f>
        <v>0</v>
      </c>
      <c r="V6" s="5" t="n">
        <f aca="false">COUNTIFS(Periodicos!$F:$F,$N6,Periodicos!$I:$I,1,Periodicos!$A:$A,U$2)</f>
        <v>0</v>
      </c>
      <c r="W6" s="5" t="n">
        <f aca="false">COUNTIFS(Periodicos!$F:$F,$N6,Periodicos!$A:$A,W$2)</f>
        <v>0</v>
      </c>
      <c r="X6" s="5" t="n">
        <f aca="false">COUNTIFS(Periodicos!$F:$F,$N6,Periodicos!$I:$I,1,Periodicos!$A:$A,W$2)</f>
        <v>0</v>
      </c>
      <c r="AA6" s="5" t="s">
        <v>8</v>
      </c>
      <c r="AB6" s="5" t="n">
        <f aca="false">O6</f>
        <v>1</v>
      </c>
      <c r="AC6" s="5" t="n">
        <f aca="false">C6</f>
        <v>0</v>
      </c>
    </row>
    <row r="7" customFormat="false" ht="15.75" hidden="false" customHeight="true" outlineLevel="0" collapsed="false">
      <c r="B7" s="4" t="s">
        <v>9</v>
      </c>
      <c r="C7" s="4" t="n">
        <f aca="false">COUNTIF(Conferencias!$F:$F,$B7)</f>
        <v>0</v>
      </c>
      <c r="D7" s="4" t="n">
        <f aca="false">COUNTIFS(Conferencias!$F:$F,$B7,Conferencias!$I:$I,1)</f>
        <v>0</v>
      </c>
      <c r="E7" s="4" t="n">
        <f aca="false">COUNTIFS(Conferencias!$F:$F,$B7,Conferencias!$A:$A,$E$2)</f>
        <v>0</v>
      </c>
      <c r="F7" s="4" t="n">
        <f aca="false">COUNTIFS(Conferencias!$F:$F,$B7,Conferencias!$I:$I,1,Conferencias!$A:$A,$E$2)</f>
        <v>0</v>
      </c>
      <c r="G7" s="4" t="n">
        <f aca="false">COUNTIFS(Conferencias!$F:$F,$B7,Conferencias!$A:$A,G$2)</f>
        <v>0</v>
      </c>
      <c r="H7" s="4" t="n">
        <f aca="false">COUNTIFS(Conferencias!$F:$F,$B7,Conferencias!$I:$I,1,Conferencias!$A:$A,G$2)</f>
        <v>0</v>
      </c>
      <c r="I7" s="4" t="n">
        <f aca="false">COUNTIFS(Conferencias!$F:$F,$B7,Conferencias!$A:$A,I$2)</f>
        <v>0</v>
      </c>
      <c r="J7" s="4" t="n">
        <f aca="false">COUNTIFS(Conferencias!$F:$F,$B7,Conferencias!$I:$I,1,Conferencias!$A:$A,I$2)</f>
        <v>0</v>
      </c>
      <c r="K7" s="4" t="n">
        <f aca="false">COUNTIFS(Conferencias!$F:$F,$B7,Conferencias!$A:$A,K$2)</f>
        <v>0</v>
      </c>
      <c r="L7" s="4" t="n">
        <f aca="false">COUNTIFS(Conferencias!$F:$F,$B7,Conferencias!$I:$I,1,Conferencias!$A:$A,K$2)</f>
        <v>0</v>
      </c>
      <c r="N7" s="4" t="s">
        <v>9</v>
      </c>
      <c r="O7" s="5" t="n">
        <f aca="false">COUNTIF(Periodicos!$F:$F,$N7)</f>
        <v>0</v>
      </c>
      <c r="P7" s="5" t="n">
        <f aca="false">COUNTIFS(Periodicos!$F:$F,$N7,Periodicos!$I:$I,1)</f>
        <v>0</v>
      </c>
      <c r="Q7" s="5" t="n">
        <f aca="false">COUNTIFS(Periodicos!$F:$F,$N7,Periodicos!$A:$A,Q$2)</f>
        <v>0</v>
      </c>
      <c r="R7" s="5" t="n">
        <f aca="false">COUNTIFS(Periodicos!$F:$F,$N7,Periodicos!$I:$I,1,Periodicos!$A:$A,Q$2)</f>
        <v>0</v>
      </c>
      <c r="S7" s="5" t="n">
        <f aca="false">COUNTIFS(Periodicos!$F:$F,$N7,Periodicos!$A:$A,S$2)</f>
        <v>0</v>
      </c>
      <c r="T7" s="5" t="n">
        <f aca="false">COUNTIFS(Periodicos!$F:$F,$N7,Periodicos!$I:$I,1,Periodicos!$A:$A,S$2)</f>
        <v>0</v>
      </c>
      <c r="U7" s="5" t="n">
        <f aca="false">COUNTIFS(Periodicos!$F:$F,$N7,Periodicos!$A:$A,U$2)</f>
        <v>0</v>
      </c>
      <c r="V7" s="5" t="n">
        <f aca="false">COUNTIFS(Periodicos!$F:$F,$N7,Periodicos!$I:$I,1,Periodicos!$A:$A,U$2)</f>
        <v>0</v>
      </c>
      <c r="W7" s="5" t="n">
        <f aca="false">COUNTIFS(Periodicos!$F:$F,$N7,Periodicos!$A:$A,W$2)</f>
        <v>0</v>
      </c>
      <c r="X7" s="5" t="n">
        <f aca="false">COUNTIFS(Periodicos!$F:$F,$N7,Periodicos!$I:$I,1,Periodicos!$A:$A,W$2)</f>
        <v>0</v>
      </c>
      <c r="AA7" s="5" t="s">
        <v>9</v>
      </c>
      <c r="AB7" s="5" t="n">
        <f aca="false">O7</f>
        <v>0</v>
      </c>
      <c r="AC7" s="5" t="n">
        <f aca="false">C7</f>
        <v>0</v>
      </c>
    </row>
    <row r="8" customFormat="false" ht="15.75" hidden="false" customHeight="true" outlineLevel="0" collapsed="false">
      <c r="B8" s="4" t="s">
        <v>10</v>
      </c>
      <c r="C8" s="4" t="n">
        <f aca="false">COUNTIF(Conferencias!$F:$F,$B8)</f>
        <v>0</v>
      </c>
      <c r="D8" s="4" t="n">
        <f aca="false">COUNTIFS(Conferencias!$F:$F,$B8,Conferencias!$I:$I,1)</f>
        <v>0</v>
      </c>
      <c r="E8" s="4" t="n">
        <f aca="false">COUNTIFS(Conferencias!$F:$F,$B8,Conferencias!$A:$A,$E$2)</f>
        <v>0</v>
      </c>
      <c r="F8" s="4" t="n">
        <f aca="false">COUNTIFS(Conferencias!$F:$F,$B8,Conferencias!$I:$I,1,Conferencias!$A:$A,$E$2)</f>
        <v>0</v>
      </c>
      <c r="G8" s="4" t="n">
        <f aca="false">COUNTIFS(Conferencias!$F:$F,$B8,Conferencias!$A:$A,G$2)</f>
        <v>0</v>
      </c>
      <c r="H8" s="4" t="n">
        <f aca="false">COUNTIFS(Conferencias!$F:$F,$B8,Conferencias!$I:$I,1,Conferencias!$A:$A,G$2)</f>
        <v>0</v>
      </c>
      <c r="I8" s="4" t="n">
        <f aca="false">COUNTIFS(Conferencias!$F:$F,$B8,Conferencias!$A:$A,I$2)</f>
        <v>0</v>
      </c>
      <c r="J8" s="4" t="n">
        <f aca="false">COUNTIFS(Conferencias!$F:$F,$B8,Conferencias!$I:$I,1,Conferencias!$A:$A,I$2)</f>
        <v>0</v>
      </c>
      <c r="K8" s="4" t="n">
        <f aca="false">COUNTIFS(Conferencias!$F:$F,$B8,Conferencias!$A:$A,K$2)</f>
        <v>0</v>
      </c>
      <c r="L8" s="4" t="n">
        <f aca="false">COUNTIFS(Conferencias!$F:$F,$B8,Conferencias!$I:$I,1,Conferencias!$A:$A,K$2)</f>
        <v>0</v>
      </c>
      <c r="N8" s="4" t="s">
        <v>10</v>
      </c>
      <c r="O8" s="5" t="n">
        <f aca="false">COUNTIF(Periodicos!$F:$F,$N8)</f>
        <v>0</v>
      </c>
      <c r="P8" s="5" t="n">
        <f aca="false">COUNTIFS(Periodicos!$F:$F,$N8,Periodicos!$I:$I,1)</f>
        <v>0</v>
      </c>
      <c r="Q8" s="5" t="n">
        <f aca="false">COUNTIFS(Periodicos!$F:$F,$N8,Periodicos!$A:$A,Q$2)</f>
        <v>0</v>
      </c>
      <c r="R8" s="5" t="n">
        <f aca="false">COUNTIFS(Periodicos!$F:$F,$N8,Periodicos!$I:$I,1,Periodicos!$A:$A,Q$2)</f>
        <v>0</v>
      </c>
      <c r="S8" s="5" t="n">
        <f aca="false">COUNTIFS(Periodicos!$F:$F,$N8,Periodicos!$A:$A,S$2)</f>
        <v>0</v>
      </c>
      <c r="T8" s="5" t="n">
        <f aca="false">COUNTIFS(Periodicos!$F:$F,$N8,Periodicos!$I:$I,1,Periodicos!$A:$A,S$2)</f>
        <v>0</v>
      </c>
      <c r="U8" s="5" t="n">
        <f aca="false">COUNTIFS(Periodicos!$F:$F,$N8,Periodicos!$A:$A,U$2)</f>
        <v>0</v>
      </c>
      <c r="V8" s="5" t="n">
        <f aca="false">COUNTIFS(Periodicos!$F:$F,$N8,Periodicos!$I:$I,1,Periodicos!$A:$A,U$2)</f>
        <v>0</v>
      </c>
      <c r="W8" s="5" t="n">
        <f aca="false">COUNTIFS(Periodicos!$F:$F,$N8,Periodicos!$A:$A,W$2)</f>
        <v>0</v>
      </c>
      <c r="X8" s="5" t="n">
        <f aca="false">COUNTIFS(Periodicos!$F:$F,$N8,Periodicos!$I:$I,1,Periodicos!$A:$A,W$2)</f>
        <v>0</v>
      </c>
      <c r="AA8" s="5" t="s">
        <v>10</v>
      </c>
      <c r="AB8" s="5" t="n">
        <f aca="false">O8</f>
        <v>0</v>
      </c>
      <c r="AC8" s="5" t="n">
        <f aca="false">C8</f>
        <v>0</v>
      </c>
    </row>
    <row r="9" customFormat="false" ht="15.75" hidden="false" customHeight="true" outlineLevel="0" collapsed="false">
      <c r="B9" s="4" t="s">
        <v>11</v>
      </c>
      <c r="C9" s="4" t="n">
        <f aca="false">COUNTIF(Conferencias!$F:$F,$B9)</f>
        <v>0</v>
      </c>
      <c r="D9" s="4" t="n">
        <f aca="false">COUNTIFS(Conferencias!$F:$F,$B9,Conferencias!$I:$I,1)</f>
        <v>0</v>
      </c>
      <c r="E9" s="4" t="n">
        <f aca="false">COUNTIFS(Conferencias!$F:$F,$B9,Conferencias!$A:$A,$E$2)</f>
        <v>0</v>
      </c>
      <c r="F9" s="4" t="n">
        <f aca="false">COUNTIFS(Conferencias!$F:$F,$B9,Conferencias!$I:$I,1,Conferencias!$A:$A,$E$2)</f>
        <v>0</v>
      </c>
      <c r="G9" s="4" t="n">
        <f aca="false">COUNTIFS(Conferencias!$F:$F,$B9,Conferencias!$A:$A,G$2)</f>
        <v>0</v>
      </c>
      <c r="H9" s="4" t="n">
        <f aca="false">COUNTIFS(Conferencias!$F:$F,$B9,Conferencias!$I:$I,1,Conferencias!$A:$A,G$2)</f>
        <v>0</v>
      </c>
      <c r="I9" s="4" t="n">
        <f aca="false">COUNTIFS(Conferencias!$F:$F,$B9,Conferencias!$A:$A,I$2)</f>
        <v>0</v>
      </c>
      <c r="J9" s="4" t="n">
        <f aca="false">COUNTIFS(Conferencias!$F:$F,$B9,Conferencias!$I:$I,1,Conferencias!$A:$A,I$2)</f>
        <v>0</v>
      </c>
      <c r="K9" s="4" t="n">
        <f aca="false">COUNTIFS(Conferencias!$F:$F,$B9,Conferencias!$A:$A,K$2)</f>
        <v>0</v>
      </c>
      <c r="L9" s="4" t="n">
        <f aca="false">COUNTIFS(Conferencias!$F:$F,$B9,Conferencias!$I:$I,1,Conferencias!$A:$A,K$2)</f>
        <v>0</v>
      </c>
      <c r="N9" s="4" t="s">
        <v>11</v>
      </c>
      <c r="O9" s="5" t="n">
        <f aca="false">COUNTIF(Periodicos!$F:$F,$N9)</f>
        <v>0</v>
      </c>
      <c r="P9" s="5" t="n">
        <f aca="false">COUNTIFS(Periodicos!$F:$F,$N9,Periodicos!$I:$I,1)</f>
        <v>0</v>
      </c>
      <c r="Q9" s="5" t="n">
        <f aca="false">COUNTIFS(Periodicos!$F:$F,$N9,Periodicos!$A:$A,Q$2)</f>
        <v>0</v>
      </c>
      <c r="R9" s="5" t="n">
        <f aca="false">COUNTIFS(Periodicos!$F:$F,$N9,Periodicos!$I:$I,1,Periodicos!$A:$A,Q$2)</f>
        <v>0</v>
      </c>
      <c r="S9" s="5" t="n">
        <f aca="false">COUNTIFS(Periodicos!$F:$F,$N9,Periodicos!$A:$A,S$2)</f>
        <v>0</v>
      </c>
      <c r="T9" s="5" t="n">
        <f aca="false">COUNTIFS(Periodicos!$F:$F,$N9,Periodicos!$I:$I,1,Periodicos!$A:$A,S$2)</f>
        <v>0</v>
      </c>
      <c r="U9" s="5" t="n">
        <f aca="false">COUNTIFS(Periodicos!$F:$F,$N9,Periodicos!$A:$A,U$2)</f>
        <v>0</v>
      </c>
      <c r="V9" s="5" t="n">
        <f aca="false">COUNTIFS(Periodicos!$F:$F,$N9,Periodicos!$I:$I,1,Periodicos!$A:$A,U$2)</f>
        <v>0</v>
      </c>
      <c r="W9" s="5" t="n">
        <f aca="false">COUNTIFS(Periodicos!$F:$F,$N9,Periodicos!$A:$A,W$2)</f>
        <v>0</v>
      </c>
      <c r="X9" s="5" t="n">
        <f aca="false">COUNTIFS(Periodicos!$F:$F,$N9,Periodicos!$I:$I,1,Periodicos!$A:$A,W$2)</f>
        <v>0</v>
      </c>
      <c r="AA9" s="5" t="s">
        <v>11</v>
      </c>
      <c r="AB9" s="5" t="n">
        <f aca="false">O9</f>
        <v>0</v>
      </c>
      <c r="AC9" s="5" t="n">
        <f aca="false">C9</f>
        <v>0</v>
      </c>
    </row>
    <row r="10" customFormat="false" ht="15.75" hidden="false" customHeight="true" outlineLevel="0" collapsed="false">
      <c r="B10" s="4" t="s">
        <v>12</v>
      </c>
      <c r="C10" s="4" t="n">
        <f aca="false">COUNTIF(Conferencias!$F:$F,$B10)</f>
        <v>0</v>
      </c>
      <c r="D10" s="4" t="n">
        <f aca="false">COUNTIFS(Conferencias!$F:$F,$B10,Conferencias!$I:$I,1)</f>
        <v>0</v>
      </c>
      <c r="E10" s="4" t="n">
        <f aca="false">COUNTIFS(Conferencias!$F:$F,$B10,Conferencias!$A:$A,$E$2)</f>
        <v>0</v>
      </c>
      <c r="F10" s="4" t="n">
        <f aca="false">COUNTIFS(Conferencias!$F:$F,$B10,Conferencias!$I:$I,1,Conferencias!$A:$A,$E$2)</f>
        <v>0</v>
      </c>
      <c r="G10" s="4" t="n">
        <f aca="false">COUNTIFS(Conferencias!$F:$F,$B10,Conferencias!$A:$A,G$2)</f>
        <v>0</v>
      </c>
      <c r="H10" s="4" t="n">
        <f aca="false">COUNTIFS(Conferencias!$F:$F,$B10,Conferencias!$I:$I,1,Conferencias!$A:$A,G$2)</f>
        <v>0</v>
      </c>
      <c r="I10" s="4" t="n">
        <f aca="false">COUNTIFS(Conferencias!$F:$F,$B10,Conferencias!$A:$A,I$2)</f>
        <v>0</v>
      </c>
      <c r="J10" s="4" t="n">
        <f aca="false">COUNTIFS(Conferencias!$F:$F,$B10,Conferencias!$I:$I,1,Conferencias!$A:$A,I$2)</f>
        <v>0</v>
      </c>
      <c r="K10" s="4" t="n">
        <f aca="false">COUNTIFS(Conferencias!$F:$F,$B10,Conferencias!$A:$A,K$2)</f>
        <v>0</v>
      </c>
      <c r="L10" s="4" t="n">
        <f aca="false">COUNTIFS(Conferencias!$F:$F,$B10,Conferencias!$I:$I,1,Conferencias!$A:$A,K$2)</f>
        <v>0</v>
      </c>
      <c r="N10" s="4" t="s">
        <v>12</v>
      </c>
      <c r="O10" s="5" t="n">
        <f aca="false">COUNTIF(Periodicos!$F:$F,$N10)</f>
        <v>0</v>
      </c>
      <c r="P10" s="5" t="n">
        <f aca="false">COUNTIFS(Periodicos!$F:$F,$N10,Periodicos!$I:$I,1)</f>
        <v>0</v>
      </c>
      <c r="Q10" s="5" t="n">
        <f aca="false">COUNTIFS(Periodicos!$F:$F,$N10,Periodicos!$A:$A,Q$2)</f>
        <v>0</v>
      </c>
      <c r="R10" s="5" t="n">
        <f aca="false">COUNTIFS(Periodicos!$F:$F,$N10,Periodicos!$I:$I,1,Periodicos!$A:$A,Q$2)</f>
        <v>0</v>
      </c>
      <c r="S10" s="5" t="n">
        <f aca="false">COUNTIFS(Periodicos!$F:$F,$N10,Periodicos!$A:$A,S$2)</f>
        <v>0</v>
      </c>
      <c r="T10" s="5" t="n">
        <f aca="false">COUNTIFS(Periodicos!$F:$F,$N10,Periodicos!$I:$I,1,Periodicos!$A:$A,S$2)</f>
        <v>0</v>
      </c>
      <c r="U10" s="5" t="n">
        <f aca="false">COUNTIFS(Periodicos!$F:$F,$N10,Periodicos!$A:$A,U$2)</f>
        <v>0</v>
      </c>
      <c r="V10" s="5" t="n">
        <f aca="false">COUNTIFS(Periodicos!$F:$F,$N10,Periodicos!$I:$I,1,Periodicos!$A:$A,U$2)</f>
        <v>0</v>
      </c>
      <c r="W10" s="5" t="n">
        <f aca="false">COUNTIFS(Periodicos!$F:$F,$N10,Periodicos!$A:$A,W$2)</f>
        <v>0</v>
      </c>
      <c r="X10" s="5" t="n">
        <f aca="false">COUNTIFS(Periodicos!$F:$F,$N10,Periodicos!$I:$I,1,Periodicos!$A:$A,W$2)</f>
        <v>0</v>
      </c>
      <c r="AA10" s="5" t="s">
        <v>12</v>
      </c>
      <c r="AB10" s="5" t="n">
        <f aca="false">O10</f>
        <v>0</v>
      </c>
      <c r="AC10" s="5" t="n">
        <f aca="false">C10</f>
        <v>0</v>
      </c>
    </row>
    <row r="11" customFormat="false" ht="15.75" hidden="false" customHeight="true" outlineLevel="0" collapsed="false">
      <c r="B11" s="4" t="s">
        <v>13</v>
      </c>
      <c r="C11" s="4" t="n">
        <f aca="false">COUNTIF(Conferencias!$F:$F,$B11)</f>
        <v>0</v>
      </c>
      <c r="D11" s="4" t="n">
        <f aca="false">COUNTIFS(Conferencias!$F:$F,$B11,Conferencias!$I:$I,1)</f>
        <v>0</v>
      </c>
      <c r="E11" s="4" t="n">
        <f aca="false">COUNTIFS(Conferencias!$F:$F,$B11,Conferencias!$A:$A,$E$2)</f>
        <v>0</v>
      </c>
      <c r="F11" s="4" t="n">
        <f aca="false">COUNTIFS(Conferencias!$F:$F,$B11,Conferencias!$I:$I,1,Conferencias!$A:$A,$E$2)</f>
        <v>0</v>
      </c>
      <c r="G11" s="4" t="n">
        <f aca="false">COUNTIFS(Conferencias!$F:$F,$B11,Conferencias!$A:$A,G$2)</f>
        <v>0</v>
      </c>
      <c r="H11" s="4" t="n">
        <f aca="false">COUNTIFS(Conferencias!$F:$F,$B11,Conferencias!$I:$I,1,Conferencias!$A:$A,G$2)</f>
        <v>0</v>
      </c>
      <c r="I11" s="4" t="n">
        <f aca="false">COUNTIFS(Conferencias!$F:$F,$B11,Conferencias!$A:$A,I$2)</f>
        <v>0</v>
      </c>
      <c r="J11" s="4" t="n">
        <f aca="false">COUNTIFS(Conferencias!$F:$F,$B11,Conferencias!$I:$I,1,Conferencias!$A:$A,I$2)</f>
        <v>0</v>
      </c>
      <c r="K11" s="4" t="n">
        <f aca="false">COUNTIFS(Conferencias!$F:$F,$B11,Conferencias!$A:$A,K$2)</f>
        <v>0</v>
      </c>
      <c r="L11" s="4" t="n">
        <f aca="false">COUNTIFS(Conferencias!$F:$F,$B11,Conferencias!$I:$I,1,Conferencias!$A:$A,K$2)</f>
        <v>0</v>
      </c>
      <c r="N11" s="4" t="s">
        <v>13</v>
      </c>
      <c r="O11" s="5" t="n">
        <f aca="false">COUNTIF(Periodicos!$F:$F,$N11)</f>
        <v>0</v>
      </c>
      <c r="P11" s="5" t="n">
        <f aca="false">COUNTIFS(Periodicos!$F:$F,$N11,Periodicos!$I:$I,1)</f>
        <v>0</v>
      </c>
      <c r="Q11" s="5" t="n">
        <f aca="false">COUNTIFS(Periodicos!$F:$F,$N11,Periodicos!$A:$A,Q$2)</f>
        <v>0</v>
      </c>
      <c r="R11" s="5" t="n">
        <f aca="false">COUNTIFS(Periodicos!$F:$F,$N11,Periodicos!$I:$I,1,Periodicos!$A:$A,Q$2)</f>
        <v>0</v>
      </c>
      <c r="S11" s="5" t="n">
        <f aca="false">COUNTIFS(Periodicos!$F:$F,$N11,Periodicos!$A:$A,S$2)</f>
        <v>0</v>
      </c>
      <c r="T11" s="5" t="n">
        <f aca="false">COUNTIFS(Periodicos!$F:$F,$N11,Periodicos!$I:$I,1,Periodicos!$A:$A,S$2)</f>
        <v>0</v>
      </c>
      <c r="U11" s="5" t="n">
        <f aca="false">COUNTIFS(Periodicos!$F:$F,$N11,Periodicos!$A:$A,U$2)</f>
        <v>0</v>
      </c>
      <c r="V11" s="5" t="n">
        <f aca="false">COUNTIFS(Periodicos!$F:$F,$N11,Periodicos!$I:$I,1,Periodicos!$A:$A,U$2)</f>
        <v>0</v>
      </c>
      <c r="W11" s="5" t="n">
        <f aca="false">COUNTIFS(Periodicos!$F:$F,$N11,Periodicos!$A:$A,W$2)</f>
        <v>0</v>
      </c>
      <c r="X11" s="5" t="n">
        <f aca="false">COUNTIFS(Periodicos!$F:$F,$N11,Periodicos!$I:$I,1,Periodicos!$A:$A,W$2)</f>
        <v>0</v>
      </c>
      <c r="AA11" s="5" t="s">
        <v>13</v>
      </c>
      <c r="AB11" s="5" t="n">
        <f aca="false">O11</f>
        <v>0</v>
      </c>
      <c r="AC11" s="5" t="n">
        <f aca="false">C11</f>
        <v>0</v>
      </c>
    </row>
    <row r="12" customFormat="false" ht="15.75" hidden="false" customHeight="true" outlineLevel="0" collapsed="false">
      <c r="B12" s="4" t="s">
        <v>14</v>
      </c>
      <c r="C12" s="4" t="n">
        <f aca="false">COUNTIF(Conferencias!$F:$F,$B12)</f>
        <v>0</v>
      </c>
      <c r="D12" s="4" t="n">
        <f aca="false">COUNTIFS(Conferencias!$F:$F,$B12,Conferencias!$I:$I,1)</f>
        <v>0</v>
      </c>
      <c r="E12" s="4" t="n">
        <f aca="false">COUNTIFS(Conferencias!$F:$F,$B12,Conferencias!$A:$A,$E$2)</f>
        <v>0</v>
      </c>
      <c r="F12" s="4" t="n">
        <f aca="false">COUNTIFS(Conferencias!$F:$F,$B12,Conferencias!$I:$I,1,Conferencias!$A:$A,$E$2)</f>
        <v>0</v>
      </c>
      <c r="G12" s="4" t="n">
        <f aca="false">COUNTIFS(Conferencias!$F:$F,$B12,Conferencias!$A:$A,G$2)</f>
        <v>0</v>
      </c>
      <c r="H12" s="4" t="n">
        <f aca="false">COUNTIFS(Conferencias!$F:$F,$B12,Conferencias!$I:$I,1,Conferencias!$A:$A,G$2)</f>
        <v>0</v>
      </c>
      <c r="I12" s="4" t="n">
        <f aca="false">COUNTIFS(Conferencias!$F:$F,$B12,Conferencias!$A:$A,I$2)</f>
        <v>0</v>
      </c>
      <c r="J12" s="4" t="n">
        <f aca="false">COUNTIFS(Conferencias!$F:$F,$B12,Conferencias!$I:$I,1,Conferencias!$A:$A,I$2)</f>
        <v>0</v>
      </c>
      <c r="K12" s="4" t="n">
        <f aca="false">COUNTIFS(Conferencias!$F:$F,$B12,Conferencias!$A:$A,K$2)</f>
        <v>0</v>
      </c>
      <c r="L12" s="4" t="n">
        <f aca="false">COUNTIFS(Conferencias!$F:$F,$B12,Conferencias!$I:$I,1,Conferencias!$A:$A,K$2)</f>
        <v>0</v>
      </c>
      <c r="N12" s="4" t="s">
        <v>15</v>
      </c>
      <c r="O12" s="5" t="n">
        <f aca="false">COUNTIF(Periodicos!$F:$F,$N12)</f>
        <v>1</v>
      </c>
      <c r="P12" s="5" t="n">
        <f aca="false">COUNTIFS(Periodicos!$F:$F,$N12,Periodicos!$I:$I,1)</f>
        <v>0</v>
      </c>
      <c r="Q12" s="5" t="n">
        <f aca="false">COUNTIFS(Periodicos!$F:$F,$N12,Periodicos!$A:$A,Q$2)</f>
        <v>0</v>
      </c>
      <c r="R12" s="5" t="n">
        <f aca="false">COUNTIFS(Periodicos!$F:$F,$N12,Periodicos!$I:$I,1,Periodicos!$A:$A,Q$2)</f>
        <v>0</v>
      </c>
      <c r="S12" s="5" t="n">
        <f aca="false">COUNTIFS(Periodicos!$F:$F,$N12,Periodicos!$A:$A,S$2)</f>
        <v>0</v>
      </c>
      <c r="T12" s="5" t="n">
        <f aca="false">COUNTIFS(Periodicos!$F:$F,$N12,Periodicos!$I:$I,1,Periodicos!$A:$A,S$2)</f>
        <v>0</v>
      </c>
      <c r="U12" s="5" t="n">
        <f aca="false">COUNTIFS(Periodicos!$F:$F,$N12,Periodicos!$A:$A,U$2)</f>
        <v>0</v>
      </c>
      <c r="V12" s="5" t="n">
        <f aca="false">COUNTIFS(Periodicos!$F:$F,$N12,Periodicos!$I:$I,1,Periodicos!$A:$A,U$2)</f>
        <v>0</v>
      </c>
      <c r="W12" s="5" t="n">
        <f aca="false">COUNTIFS(Periodicos!$F:$F,$N12,Periodicos!$A:$A,W$2)</f>
        <v>0</v>
      </c>
      <c r="X12" s="5" t="n">
        <f aca="false">COUNTIFS(Periodicos!$F:$F,$N12,Periodicos!$I:$I,1,Periodicos!$A:$A,W$2)</f>
        <v>0</v>
      </c>
      <c r="AA12" s="5" t="s">
        <v>15</v>
      </c>
      <c r="AB12" s="5" t="n">
        <f aca="false">O12</f>
        <v>1</v>
      </c>
      <c r="AC12" s="5" t="n">
        <f aca="false">C12</f>
        <v>0</v>
      </c>
    </row>
    <row r="13" customFormat="false" ht="15.75" hidden="false" customHeight="true" outlineLevel="0" collapsed="false">
      <c r="B13" s="6"/>
      <c r="C13" s="7" t="n">
        <f aca="false">SUM(C4:C12)</f>
        <v>0</v>
      </c>
      <c r="D13" s="7" t="n">
        <f aca="false">SUM(D4:D12)</f>
        <v>0</v>
      </c>
      <c r="E13" s="7" t="n">
        <f aca="false">SUM(E4:E12)</f>
        <v>0</v>
      </c>
      <c r="F13" s="7" t="n">
        <f aca="false">SUM(F4:F12)</f>
        <v>0</v>
      </c>
      <c r="G13" s="7" t="n">
        <f aca="false">SUM(G4:G12)</f>
        <v>0</v>
      </c>
      <c r="H13" s="7" t="n">
        <f aca="false">SUM(H4:H12)</f>
        <v>0</v>
      </c>
      <c r="I13" s="7" t="n">
        <f aca="false">SUM(I4:I12)</f>
        <v>0</v>
      </c>
      <c r="J13" s="7" t="n">
        <f aca="false">SUM(J4:J12)</f>
        <v>0</v>
      </c>
      <c r="K13" s="7" t="n">
        <f aca="false">SUM(K4:K12)</f>
        <v>0</v>
      </c>
      <c r="L13" s="7" t="n">
        <f aca="false">SUM(L4:L12)</f>
        <v>0</v>
      </c>
      <c r="N13" s="6"/>
      <c r="O13" s="7" t="n">
        <f aca="false">SUM(O4:O12)</f>
        <v>8</v>
      </c>
      <c r="P13" s="7" t="n">
        <f aca="false">SUM(P4:P12)</f>
        <v>0</v>
      </c>
      <c r="Q13" s="7" t="n">
        <f aca="false">SUM(Q4:Q12)</f>
        <v>0</v>
      </c>
      <c r="R13" s="7" t="n">
        <f aca="false">SUM(R4:R12)</f>
        <v>0</v>
      </c>
      <c r="S13" s="7" t="n">
        <f aca="false">SUM(S4:S12)</f>
        <v>0</v>
      </c>
      <c r="T13" s="7" t="n">
        <f aca="false">SUM(T4:T12)</f>
        <v>0</v>
      </c>
      <c r="U13" s="7" t="n">
        <f aca="false">SUM(U4:U12)</f>
        <v>0</v>
      </c>
      <c r="V13" s="7" t="n">
        <f aca="false">SUM(V4:V12)</f>
        <v>0</v>
      </c>
      <c r="W13" s="7" t="n">
        <f aca="false">SUM(W4:W12)</f>
        <v>0</v>
      </c>
      <c r="X13" s="7" t="n">
        <f aca="false">SUM(X4:X12)</f>
        <v>0</v>
      </c>
      <c r="AA13" s="3"/>
      <c r="AB13" s="7" t="n">
        <f aca="false">SUM(AB4:AB12)</f>
        <v>8</v>
      </c>
      <c r="AC13" s="7" t="n">
        <f aca="false">SUM(AC4:AC12)</f>
        <v>0</v>
      </c>
    </row>
    <row r="17" customFormat="false" ht="15.75" hidden="false" customHeight="true" outlineLevel="0" collapsed="false">
      <c r="AA17" s="8" t="s">
        <v>16</v>
      </c>
      <c r="AB17" s="8"/>
      <c r="AC17" s="8"/>
    </row>
    <row r="18" customFormat="false" ht="15.75" hidden="false" customHeight="true" outlineLevel="0" collapsed="false">
      <c r="B18" s="9" t="s">
        <v>17</v>
      </c>
      <c r="M18" s="9" t="s">
        <v>18</v>
      </c>
      <c r="AB18" s="10" t="s">
        <v>4</v>
      </c>
      <c r="AC18" s="10" t="s">
        <v>5</v>
      </c>
    </row>
    <row r="19" customFormat="false" ht="15.75" hidden="false" customHeight="true" outlineLevel="0" collapsed="false">
      <c r="AA19" s="5" t="s">
        <v>6</v>
      </c>
      <c r="AB19" s="5" t="n">
        <f aca="false">P4</f>
        <v>0</v>
      </c>
      <c r="AC19" s="5" t="n">
        <f aca="false">D4</f>
        <v>0</v>
      </c>
    </row>
    <row r="20" customFormat="false" ht="15.75" hidden="false" customHeight="true" outlineLevel="0" collapsed="false">
      <c r="B20" s="11" t="s">
        <v>19</v>
      </c>
      <c r="C20" s="2" t="s">
        <v>20</v>
      </c>
      <c r="D20" s="2"/>
      <c r="E20" s="2"/>
      <c r="F20" s="11" t="s">
        <v>21</v>
      </c>
      <c r="G20" s="12" t="s">
        <v>22</v>
      </c>
      <c r="H20" s="11" t="s">
        <v>19</v>
      </c>
      <c r="M20" s="11" t="s">
        <v>19</v>
      </c>
      <c r="N20" s="2" t="s">
        <v>20</v>
      </c>
      <c r="O20" s="2"/>
      <c r="P20" s="2"/>
      <c r="Q20" s="11" t="s">
        <v>21</v>
      </c>
      <c r="R20" s="12" t="s">
        <v>22</v>
      </c>
      <c r="AA20" s="5" t="s">
        <v>7</v>
      </c>
      <c r="AB20" s="5" t="n">
        <f aca="false">P5</f>
        <v>0</v>
      </c>
      <c r="AC20" s="5" t="n">
        <f aca="false">D5</f>
        <v>0</v>
      </c>
    </row>
    <row r="21" customFormat="false" ht="15.75" hidden="false" customHeight="true" outlineLevel="0" collapsed="false">
      <c r="B21" s="11"/>
      <c r="C21" s="2" t="s">
        <v>23</v>
      </c>
      <c r="D21" s="2" t="s">
        <v>24</v>
      </c>
      <c r="E21" s="2" t="s">
        <v>25</v>
      </c>
      <c r="F21" s="11"/>
      <c r="G21" s="11"/>
      <c r="H21" s="11"/>
      <c r="M21" s="11"/>
      <c r="N21" s="2" t="s">
        <v>23</v>
      </c>
      <c r="O21" s="2" t="s">
        <v>24</v>
      </c>
      <c r="P21" s="2" t="s">
        <v>25</v>
      </c>
      <c r="Q21" s="11"/>
      <c r="R21" s="11"/>
      <c r="AA21" s="5" t="s">
        <v>8</v>
      </c>
      <c r="AB21" s="5" t="n">
        <f aca="false">P6</f>
        <v>0</v>
      </c>
      <c r="AC21" s="5" t="n">
        <f aca="false">D6</f>
        <v>0</v>
      </c>
    </row>
    <row r="22" customFormat="false" ht="15.75" hidden="false" customHeight="true" outlineLevel="0" collapsed="false">
      <c r="B22" s="7" t="n">
        <v>2021</v>
      </c>
      <c r="C22" s="13" t="e">
        <f aca="false">SUMIFS(#REF!,Conferencias!$H:$H,1,Conferencias!$A:$A,B22)</f>
        <v>#REF!</v>
      </c>
      <c r="D22" s="13" t="n">
        <f aca="false">SUMIFS(Periodicos!$AB:$AB,Periodicos!$H:$H,1,Periodicos!$A:$A,B22)</f>
        <v>0</v>
      </c>
      <c r="E22" s="13" t="e">
        <f aca="false">C22+D22</f>
        <v>#REF!</v>
      </c>
      <c r="F22" s="14" t="n">
        <v>13</v>
      </c>
      <c r="G22" s="13" t="e">
        <f aca="false">E22/F22</f>
        <v>#REF!</v>
      </c>
      <c r="H22" s="14" t="n">
        <v>1</v>
      </c>
      <c r="I22" s="1" t="s">
        <v>26</v>
      </c>
      <c r="M22" s="7" t="n">
        <v>2021</v>
      </c>
      <c r="N22" s="13" t="e">
        <f aca="false">SUMIFS(#REF!,Conferencias!$H:$H,1,Conferencias!$A:$A,M22)</f>
        <v>#REF!</v>
      </c>
      <c r="O22" s="13" t="n">
        <f aca="false">SUMIFS(Periodicos!$AB:$AB,Periodicos!$H:$H,1,Periodicos!$A:$A,M22)</f>
        <v>0</v>
      </c>
      <c r="P22" s="13" t="e">
        <f aca="false">N22+O22</f>
        <v>#REF!</v>
      </c>
      <c r="Q22" s="14" t="n">
        <v>13</v>
      </c>
      <c r="R22" s="13" t="e">
        <f aca="false">P22/Q22</f>
        <v>#REF!</v>
      </c>
      <c r="AA22" s="5" t="s">
        <v>9</v>
      </c>
      <c r="AB22" s="5" t="n">
        <f aca="false">P7</f>
        <v>0</v>
      </c>
      <c r="AC22" s="5" t="n">
        <f aca="false">D7</f>
        <v>0</v>
      </c>
    </row>
    <row r="23" customFormat="false" ht="15.75" hidden="false" customHeight="true" outlineLevel="0" collapsed="false">
      <c r="B23" s="7" t="n">
        <v>2022</v>
      </c>
      <c r="C23" s="13" t="e">
        <f aca="false">SUMIFS(#REF!,Conferencias!$H:$H,1,Conferencias!$A:$A,B23)</f>
        <v>#REF!</v>
      </c>
      <c r="D23" s="13" t="n">
        <f aca="false">SUMIFS(Periodicos!$AB:$AB,Periodicos!$H:$H,1,Periodicos!$A:$A,B23)</f>
        <v>0</v>
      </c>
      <c r="E23" s="13" t="e">
        <f aca="false">C23+D23</f>
        <v>#REF!</v>
      </c>
      <c r="F23" s="14" t="n">
        <v>13</v>
      </c>
      <c r="G23" s="13" t="e">
        <f aca="false">E23/F23</f>
        <v>#REF!</v>
      </c>
      <c r="H23" s="14" t="n">
        <v>1</v>
      </c>
      <c r="I23" s="1" t="s">
        <v>27</v>
      </c>
      <c r="M23" s="7" t="n">
        <v>2022</v>
      </c>
      <c r="N23" s="13" t="e">
        <f aca="false">SUMIFS(#REF!,Conferencias!$H:$H,1,Conferencias!$A:$A,M23)</f>
        <v>#REF!</v>
      </c>
      <c r="O23" s="13" t="n">
        <f aca="false">SUMIFS(Periodicos!$AB:$AB,Periodicos!$H:$H,1,Periodicos!$A:$A,M23)</f>
        <v>0</v>
      </c>
      <c r="P23" s="13" t="e">
        <f aca="false">N23+O23</f>
        <v>#REF!</v>
      </c>
      <c r="Q23" s="14" t="n">
        <v>13</v>
      </c>
      <c r="R23" s="13" t="e">
        <f aca="false">P23/Q23</f>
        <v>#REF!</v>
      </c>
      <c r="AA23" s="5" t="s">
        <v>10</v>
      </c>
      <c r="AB23" s="5" t="n">
        <f aca="false">P8</f>
        <v>0</v>
      </c>
      <c r="AC23" s="5" t="n">
        <f aca="false">D8</f>
        <v>0</v>
      </c>
    </row>
    <row r="24" customFormat="false" ht="15.75" hidden="false" customHeight="true" outlineLevel="0" collapsed="false">
      <c r="B24" s="7" t="n">
        <v>2023</v>
      </c>
      <c r="C24" s="13" t="e">
        <f aca="false">SUMIFS(#REF!,Conferencias!$H:$H,1,Conferencias!$A:$A,B24)</f>
        <v>#REF!</v>
      </c>
      <c r="D24" s="13" t="n">
        <f aca="false">SUMIFS(Periodicos!$AB:$AB,Periodicos!$H:$H,1,Periodicos!$A:$A,B24)</f>
        <v>0</v>
      </c>
      <c r="E24" s="13" t="e">
        <f aca="false">C24+D24</f>
        <v>#REF!</v>
      </c>
      <c r="F24" s="14" t="n">
        <v>14</v>
      </c>
      <c r="G24" s="13" t="e">
        <f aca="false">E24/F24</f>
        <v>#REF!</v>
      </c>
      <c r="H24" s="14" t="n">
        <v>0</v>
      </c>
      <c r="I24" s="1" t="s">
        <v>28</v>
      </c>
      <c r="M24" s="7" t="n">
        <v>2023</v>
      </c>
      <c r="N24" s="15" t="e">
        <f aca="false">P24*3/4</f>
        <v>#REF!</v>
      </c>
      <c r="O24" s="15" t="e">
        <f aca="false">P24/4</f>
        <v>#REF!</v>
      </c>
      <c r="P24" s="15" t="e">
        <f aca="false">Q24*R24</f>
        <v>#REF!</v>
      </c>
      <c r="Q24" s="16" t="n">
        <v>14</v>
      </c>
      <c r="R24" s="15" t="e">
        <f aca="false">(R26*4-SUM(R22:R23))/2</f>
        <v>#REF!</v>
      </c>
      <c r="S24" s="15" t="e">
        <f aca="false">R24*3/4</f>
        <v>#REF!</v>
      </c>
      <c r="T24" s="15" t="e">
        <f aca="false">R24/4</f>
        <v>#REF!</v>
      </c>
      <c r="AA24" s="5" t="s">
        <v>11</v>
      </c>
      <c r="AB24" s="5" t="n">
        <f aca="false">P9</f>
        <v>0</v>
      </c>
      <c r="AC24" s="5" t="n">
        <f aca="false">D9</f>
        <v>0</v>
      </c>
    </row>
    <row r="25" customFormat="false" ht="15.75" hidden="false" customHeight="true" outlineLevel="0" collapsed="false">
      <c r="B25" s="7" t="n">
        <v>2024</v>
      </c>
      <c r="C25" s="13" t="e">
        <f aca="false">SUMIFS(#REF!,Conferencias!$H:$H,1,Conferencias!$A:$A,B25)</f>
        <v>#REF!</v>
      </c>
      <c r="D25" s="13" t="n">
        <f aca="false">SUMIFS(Periodicos!$AB:$AB,Periodicos!$H:$H,1,Periodicos!$A:$A,B25)</f>
        <v>0</v>
      </c>
      <c r="E25" s="13" t="e">
        <f aca="false">C25+D25</f>
        <v>#REF!</v>
      </c>
      <c r="F25" s="14" t="n">
        <v>16</v>
      </c>
      <c r="G25" s="13" t="e">
        <f aca="false">E25/F25</f>
        <v>#REF!</v>
      </c>
      <c r="H25" s="14" t="n">
        <v>0</v>
      </c>
      <c r="M25" s="7" t="n">
        <v>2024</v>
      </c>
      <c r="N25" s="15" t="e">
        <f aca="false">P25*3/4</f>
        <v>#REF!</v>
      </c>
      <c r="O25" s="15" t="e">
        <f aca="false">P25/4</f>
        <v>#REF!</v>
      </c>
      <c r="P25" s="15" t="e">
        <f aca="false">Q25*R25</f>
        <v>#REF!</v>
      </c>
      <c r="Q25" s="16" t="n">
        <v>16</v>
      </c>
      <c r="R25" s="15" t="e">
        <f aca="false">(R26*4-SUM(R22:R24))</f>
        <v>#REF!</v>
      </c>
      <c r="S25" s="15" t="e">
        <f aca="false">R25*3/4</f>
        <v>#REF!</v>
      </c>
      <c r="T25" s="15" t="e">
        <f aca="false">R25/4</f>
        <v>#REF!</v>
      </c>
      <c r="AA25" s="5" t="s">
        <v>12</v>
      </c>
      <c r="AB25" s="5" t="n">
        <f aca="false">P10</f>
        <v>0</v>
      </c>
      <c r="AC25" s="5" t="n">
        <f aca="false">D10</f>
        <v>0</v>
      </c>
    </row>
    <row r="26" customFormat="false" ht="15.75" hidden="false" customHeight="true" outlineLevel="0" collapsed="false">
      <c r="C26" s="17" t="e">
        <f aca="false">SUMIFS(#REF!,Conferencias!$H:$H,1)</f>
        <v>#REF!</v>
      </c>
      <c r="D26" s="17" t="n">
        <f aca="false">SUMIFS(Periodicos!$AB:$AB,Periodicos!$H:$H,1)</f>
        <v>6.25</v>
      </c>
      <c r="E26" s="17" t="e">
        <f aca="false">SUM(E22:E25)</f>
        <v>#REF!</v>
      </c>
      <c r="F26" s="18"/>
      <c r="G26" s="17" t="e">
        <f aca="false">SUM(G22:G25)/SUM(H22:H25)</f>
        <v>#REF!</v>
      </c>
      <c r="H26" s="19"/>
      <c r="N26" s="17" t="e">
        <f aca="false">SUMIFS(#REF!,Conferencias!$H:$H,1)</f>
        <v>#REF!</v>
      </c>
      <c r="O26" s="17" t="n">
        <f aca="false">SUMIFS(Periodicos!$AB:$AB,Periodicos!$H:$H,1)</f>
        <v>6.25</v>
      </c>
      <c r="P26" s="17" t="e">
        <f aca="false">SUM(P22:P25)</f>
        <v>#REF!</v>
      </c>
      <c r="Q26" s="18"/>
      <c r="R26" s="20" t="n">
        <v>2.5</v>
      </c>
      <c r="AA26" s="5" t="s">
        <v>13</v>
      </c>
      <c r="AB26" s="5" t="n">
        <f aca="false">P11</f>
        <v>0</v>
      </c>
      <c r="AC26" s="5" t="n">
        <f aca="false">D11</f>
        <v>0</v>
      </c>
    </row>
    <row r="27" customFormat="false" ht="15.75" hidden="false" customHeight="true" outlineLevel="0" collapsed="false">
      <c r="AA27" s="5" t="s">
        <v>15</v>
      </c>
      <c r="AB27" s="5" t="n">
        <f aca="false">P12</f>
        <v>0</v>
      </c>
      <c r="AC27" s="5" t="n">
        <f aca="false">D12</f>
        <v>0</v>
      </c>
    </row>
    <row r="28" customFormat="false" ht="15.75" hidden="false" customHeight="true" outlineLevel="0" collapsed="false">
      <c r="F28" s="21"/>
      <c r="AA28" s="3"/>
      <c r="AB28" s="7" t="n">
        <f aca="false">SUM(AB19:AB27)</f>
        <v>0</v>
      </c>
      <c r="AC28" s="7" t="n">
        <f aca="false">SUM(AC19:AC27)</f>
        <v>0</v>
      </c>
    </row>
    <row r="29" customFormat="false" ht="15.75" hidden="false" customHeight="true" outlineLevel="0" collapsed="false">
      <c r="B29" s="11" t="s">
        <v>19</v>
      </c>
      <c r="C29" s="11" t="s">
        <v>29</v>
      </c>
      <c r="D29" s="11" t="s">
        <v>30</v>
      </c>
      <c r="E29" s="22" t="s">
        <v>31</v>
      </c>
      <c r="F29" s="22" t="s">
        <v>32</v>
      </c>
      <c r="G29" s="11" t="s">
        <v>21</v>
      </c>
      <c r="H29" s="12" t="s">
        <v>33</v>
      </c>
      <c r="I29" s="12" t="s">
        <v>34</v>
      </c>
      <c r="J29" s="12" t="s">
        <v>35</v>
      </c>
      <c r="M29" s="11" t="s">
        <v>19</v>
      </c>
      <c r="N29" s="11" t="s">
        <v>29</v>
      </c>
      <c r="O29" s="11" t="s">
        <v>30</v>
      </c>
      <c r="P29" s="22" t="s">
        <v>31</v>
      </c>
      <c r="Q29" s="22" t="s">
        <v>32</v>
      </c>
      <c r="R29" s="11" t="s">
        <v>21</v>
      </c>
      <c r="S29" s="12" t="s">
        <v>33</v>
      </c>
      <c r="T29" s="12" t="s">
        <v>34</v>
      </c>
      <c r="U29" s="12" t="s">
        <v>35</v>
      </c>
      <c r="AB29" s="23" t="n">
        <f aca="false">AB28/AB13</f>
        <v>0</v>
      </c>
      <c r="AC29" s="23" t="e">
        <f aca="false">AC28/AC13</f>
        <v>#DIV/0!</v>
      </c>
    </row>
    <row r="30" customFormat="false" ht="15.75" hidden="false" customHeight="true" outlineLevel="0" collapsed="false">
      <c r="B30" s="11"/>
      <c r="C30" s="11"/>
      <c r="D30" s="11"/>
      <c r="E30" s="11"/>
      <c r="F30" s="11"/>
      <c r="G30" s="11"/>
      <c r="H30" s="11"/>
      <c r="I30" s="11"/>
      <c r="J30" s="11"/>
      <c r="M30" s="11"/>
      <c r="N30" s="11"/>
      <c r="O30" s="11"/>
      <c r="P30" s="11"/>
      <c r="Q30" s="11"/>
      <c r="R30" s="11"/>
      <c r="S30" s="11"/>
      <c r="T30" s="11"/>
      <c r="U30" s="11"/>
    </row>
    <row r="31" customFormat="false" ht="15.75" hidden="false" customHeight="true" outlineLevel="0" collapsed="false">
      <c r="B31" s="7" t="n">
        <v>2021</v>
      </c>
      <c r="C31" s="5" t="n">
        <v>19</v>
      </c>
      <c r="D31" s="5" t="n">
        <f aca="false">3+3+3+1</f>
        <v>10</v>
      </c>
      <c r="E31" s="5" t="n">
        <v>7</v>
      </c>
      <c r="F31" s="5" t="n">
        <v>59</v>
      </c>
      <c r="G31" s="14" t="n">
        <v>13</v>
      </c>
      <c r="H31" s="13" t="n">
        <f aca="false">C31/G31</f>
        <v>1.46153846153846</v>
      </c>
      <c r="I31" s="13" t="n">
        <f aca="false">E31/G31</f>
        <v>0.538461538461538</v>
      </c>
      <c r="J31" s="13" t="n">
        <f aca="false">F31/G31</f>
        <v>4.53846153846154</v>
      </c>
      <c r="M31" s="7" t="n">
        <v>2021</v>
      </c>
      <c r="N31" s="4" t="n">
        <v>19</v>
      </c>
      <c r="O31" s="4" t="n">
        <f aca="false">3+3+3+1</f>
        <v>10</v>
      </c>
      <c r="P31" s="4" t="n">
        <v>7</v>
      </c>
      <c r="Q31" s="4" t="n">
        <v>59</v>
      </c>
      <c r="R31" s="24" t="n">
        <v>13</v>
      </c>
      <c r="S31" s="25" t="n">
        <f aca="false">N31/R31</f>
        <v>1.46153846153846</v>
      </c>
      <c r="T31" s="25" t="n">
        <f aca="false">P31/R31</f>
        <v>0.538461538461538</v>
      </c>
      <c r="U31" s="25" t="n">
        <f aca="false">Q31/R31</f>
        <v>4.53846153846154</v>
      </c>
    </row>
    <row r="32" customFormat="false" ht="15.75" hidden="false" customHeight="true" outlineLevel="0" collapsed="false">
      <c r="B32" s="7" t="n">
        <v>2022</v>
      </c>
      <c r="C32" s="5" t="n">
        <v>14</v>
      </c>
      <c r="D32" s="5" t="n">
        <v>7</v>
      </c>
      <c r="E32" s="5" t="n">
        <v>2</v>
      </c>
      <c r="F32" s="5" t="n">
        <f aca="false">F31+C32-D32-E32</f>
        <v>64</v>
      </c>
      <c r="G32" s="14" t="n">
        <v>13</v>
      </c>
      <c r="H32" s="13" t="n">
        <f aca="false">C32/G32</f>
        <v>1.07692307692308</v>
      </c>
      <c r="I32" s="13" t="n">
        <f aca="false">E32/G32</f>
        <v>0.153846153846154</v>
      </c>
      <c r="J32" s="13" t="n">
        <f aca="false">F32/G32</f>
        <v>4.92307692307692</v>
      </c>
      <c r="M32" s="7" t="n">
        <v>2022</v>
      </c>
      <c r="N32" s="4" t="n">
        <v>14</v>
      </c>
      <c r="O32" s="4" t="n">
        <v>7</v>
      </c>
      <c r="P32" s="4" t="n">
        <v>2</v>
      </c>
      <c r="Q32" s="4" t="n">
        <f aca="false">Q31+N32-O32-P32</f>
        <v>64</v>
      </c>
      <c r="R32" s="24" t="n">
        <v>13</v>
      </c>
      <c r="S32" s="25" t="n">
        <f aca="false">N32/R32</f>
        <v>1.07692307692308</v>
      </c>
      <c r="T32" s="25" t="n">
        <f aca="false">P32/R32</f>
        <v>0.153846153846154</v>
      </c>
      <c r="U32" s="25" t="n">
        <f aca="false">Q32/R32</f>
        <v>4.92307692307692</v>
      </c>
    </row>
    <row r="33" customFormat="false" ht="15.75" hidden="false" customHeight="true" outlineLevel="0" collapsed="false">
      <c r="B33" s="7" t="n">
        <v>2023</v>
      </c>
      <c r="C33" s="5"/>
      <c r="D33" s="5"/>
      <c r="E33" s="5"/>
      <c r="F33" s="5" t="n">
        <f aca="false">F32+C33-D33-E33</f>
        <v>64</v>
      </c>
      <c r="G33" s="14" t="n">
        <v>13</v>
      </c>
      <c r="H33" s="13" t="n">
        <f aca="false">C33/G33</f>
        <v>0</v>
      </c>
      <c r="I33" s="13" t="n">
        <f aca="false">E33/G33</f>
        <v>0</v>
      </c>
      <c r="J33" s="13" t="n">
        <f aca="false">F33/G33</f>
        <v>4.92307692307692</v>
      </c>
      <c r="M33" s="7" t="n">
        <v>2023</v>
      </c>
      <c r="N33" s="26" t="n">
        <f aca="false">R33*S33</f>
        <v>21</v>
      </c>
      <c r="O33" s="26" t="n">
        <f aca="false">ROUND(0.3*N33,0)</f>
        <v>6</v>
      </c>
      <c r="P33" s="26" t="n">
        <v>25</v>
      </c>
      <c r="Q33" s="26" t="n">
        <f aca="false">Q32+N33-O33-P33</f>
        <v>54</v>
      </c>
      <c r="R33" s="16" t="n">
        <v>14</v>
      </c>
      <c r="S33" s="15" t="n">
        <v>1.5</v>
      </c>
      <c r="T33" s="25" t="n">
        <f aca="false">P33/R33</f>
        <v>1.78571428571429</v>
      </c>
      <c r="U33" s="25" t="n">
        <f aca="false">Q33/R33</f>
        <v>3.85714285714286</v>
      </c>
    </row>
    <row r="34" customFormat="false" ht="15.75" hidden="false" customHeight="true" outlineLevel="0" collapsed="false">
      <c r="B34" s="7" t="n">
        <v>2024</v>
      </c>
      <c r="C34" s="5"/>
      <c r="D34" s="5"/>
      <c r="E34" s="14"/>
      <c r="F34" s="5" t="n">
        <f aca="false">F33+C34-D34-E34</f>
        <v>64</v>
      </c>
      <c r="G34" s="14" t="n">
        <v>13</v>
      </c>
      <c r="H34" s="13" t="n">
        <f aca="false">C34/G34</f>
        <v>0</v>
      </c>
      <c r="I34" s="13" t="n">
        <f aca="false">E34/G34</f>
        <v>0</v>
      </c>
      <c r="J34" s="13" t="n">
        <f aca="false">F34/G34</f>
        <v>4.92307692307692</v>
      </c>
      <c r="M34" s="7" t="n">
        <v>2024</v>
      </c>
      <c r="N34" s="26" t="n">
        <f aca="false">R34*S34</f>
        <v>24</v>
      </c>
      <c r="O34" s="26" t="n">
        <f aca="false">ROUND(0.3*N34,0)</f>
        <v>7</v>
      </c>
      <c r="P34" s="16" t="n">
        <v>25</v>
      </c>
      <c r="Q34" s="26" t="n">
        <f aca="false">Q33+N34-O34-P34</f>
        <v>46</v>
      </c>
      <c r="R34" s="16" t="n">
        <v>16</v>
      </c>
      <c r="S34" s="15" t="n">
        <v>1.5</v>
      </c>
      <c r="T34" s="25" t="n">
        <f aca="false">P34/R34</f>
        <v>1.5625</v>
      </c>
      <c r="U34" s="25" t="n">
        <f aca="false">Q34/R34</f>
        <v>2.875</v>
      </c>
    </row>
    <row r="35" customFormat="false" ht="15.75" hidden="false" customHeight="true" outlineLevel="0" collapsed="false">
      <c r="C35" s="27" t="n">
        <f aca="false">SUM(C31:C34)</f>
        <v>33</v>
      </c>
      <c r="E35" s="28" t="n">
        <f aca="false">SUM(E31:E34)</f>
        <v>9</v>
      </c>
      <c r="I35" s="17" t="n">
        <f aca="false">SUM(I31:I34)/4</f>
        <v>0.173076923076923</v>
      </c>
      <c r="N35" s="27" t="n">
        <f aca="false">SUM(N31:N34)</f>
        <v>78</v>
      </c>
      <c r="P35" s="28" t="n">
        <f aca="false">SUM(P31:P34)</f>
        <v>59</v>
      </c>
      <c r="T35" s="17" t="n">
        <f aca="false">SUM(T31:T34)/4</f>
        <v>1.01013049450549</v>
      </c>
    </row>
    <row r="37" customFormat="false" ht="15.75" hidden="false" customHeight="true" outlineLevel="0" collapsed="false">
      <c r="M37" s="7" t="n">
        <v>2025</v>
      </c>
      <c r="N37" s="29" t="n">
        <f aca="false">R37*S37</f>
        <v>24</v>
      </c>
      <c r="O37" s="4" t="n">
        <f aca="false">ROUND(0.3*N37,0)</f>
        <v>7</v>
      </c>
      <c r="P37" s="29" t="n">
        <f aca="false">R37*T37</f>
        <v>16</v>
      </c>
      <c r="Q37" s="7" t="n">
        <f aca="false">Q34+N37-O37-P37</f>
        <v>47</v>
      </c>
      <c r="R37" s="24" t="n">
        <v>16</v>
      </c>
      <c r="S37" s="25" t="n">
        <v>1.5</v>
      </c>
      <c r="T37" s="25" t="n">
        <v>1</v>
      </c>
      <c r="U37" s="25" t="n">
        <f aca="false">Q37/R37</f>
        <v>2.9375</v>
      </c>
    </row>
    <row r="38" customFormat="false" ht="15.75" hidden="false" customHeight="true" outlineLevel="0" collapsed="false">
      <c r="M38" s="7" t="n">
        <v>2026</v>
      </c>
      <c r="N38" s="29" t="n">
        <f aca="false">R38*S38</f>
        <v>27</v>
      </c>
      <c r="O38" s="4" t="n">
        <f aca="false">ROUND(0.3*N38,0)</f>
        <v>8</v>
      </c>
      <c r="P38" s="29" t="n">
        <f aca="false">R38*T38</f>
        <v>18</v>
      </c>
      <c r="Q38" s="7" t="n">
        <f aca="false">Q37+N38-O38-P38</f>
        <v>48</v>
      </c>
      <c r="R38" s="24" t="n">
        <v>18</v>
      </c>
      <c r="S38" s="25" t="n">
        <v>1.5</v>
      </c>
      <c r="T38" s="25" t="n">
        <v>1</v>
      </c>
      <c r="U38" s="25" t="n">
        <f aca="false">Q38/R38</f>
        <v>2.66666666666667</v>
      </c>
    </row>
    <row r="39" customFormat="false" ht="15.75" hidden="false" customHeight="true" outlineLevel="0" collapsed="false">
      <c r="M39" s="7" t="n">
        <v>2027</v>
      </c>
      <c r="N39" s="29" t="n">
        <f aca="false">R39*S39</f>
        <v>27</v>
      </c>
      <c r="O39" s="4" t="n">
        <f aca="false">ROUND(0.3*N39,0)</f>
        <v>8</v>
      </c>
      <c r="P39" s="29" t="n">
        <f aca="false">R39*T39</f>
        <v>18</v>
      </c>
      <c r="Q39" s="7" t="n">
        <f aca="false">Q38+N39-O39-P39</f>
        <v>49</v>
      </c>
      <c r="R39" s="24" t="n">
        <v>18</v>
      </c>
      <c r="S39" s="25" t="n">
        <v>1.5</v>
      </c>
      <c r="T39" s="25" t="n">
        <v>1</v>
      </c>
      <c r="U39" s="25" t="n">
        <f aca="false">Q39/R39</f>
        <v>2.72222222222222</v>
      </c>
    </row>
    <row r="40" customFormat="false" ht="15.75" hidden="false" customHeight="true" outlineLevel="0" collapsed="false">
      <c r="M40" s="7" t="n">
        <v>2028</v>
      </c>
      <c r="N40" s="29" t="n">
        <f aca="false">R40*S40</f>
        <v>30</v>
      </c>
      <c r="O40" s="4" t="n">
        <f aca="false">ROUND(0.3*N40,0)</f>
        <v>9</v>
      </c>
      <c r="P40" s="29" t="n">
        <f aca="false">R40*T40</f>
        <v>20</v>
      </c>
      <c r="Q40" s="7" t="n">
        <f aca="false">Q39+N40-O40-P40</f>
        <v>50</v>
      </c>
      <c r="R40" s="24" t="n">
        <v>20</v>
      </c>
      <c r="S40" s="25" t="n">
        <v>1.5</v>
      </c>
      <c r="T40" s="25" t="n">
        <v>1</v>
      </c>
      <c r="U40" s="25" t="n">
        <f aca="false">Q40/R40</f>
        <v>2.5</v>
      </c>
    </row>
  </sheetData>
  <mergeCells count="38"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AA17:AC17"/>
    <mergeCell ref="B20:B21"/>
    <mergeCell ref="C20:E20"/>
    <mergeCell ref="F20:F21"/>
    <mergeCell ref="G20:G21"/>
    <mergeCell ref="H20:H21"/>
    <mergeCell ref="M20:M21"/>
    <mergeCell ref="N20:P20"/>
    <mergeCell ref="Q20:Q21"/>
    <mergeCell ref="R20:R21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M29:M30"/>
    <mergeCell ref="N29:N30"/>
    <mergeCell ref="O29:O30"/>
    <mergeCell ref="P29:P30"/>
    <mergeCell ref="Q29:Q30"/>
    <mergeCell ref="R29:R30"/>
    <mergeCell ref="S29:S30"/>
    <mergeCell ref="T29:T30"/>
    <mergeCell ref="U29:U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30" width="37.5"/>
    <col collapsed="false" customWidth="true" hidden="false" outlineLevel="0" max="2" min="2" style="134" width="60.62"/>
    <col collapsed="false" customWidth="true" hidden="false" outlineLevel="0" max="3" min="3" style="86" width="7.12"/>
    <col collapsed="false" customWidth="true" hidden="false" outlineLevel="0" max="20" min="4" style="31" width="3.38"/>
    <col collapsed="false" customWidth="true" hidden="false" outlineLevel="0" max="40" min="22" style="30" width="3.38"/>
  </cols>
  <sheetData>
    <row r="1" customFormat="false" ht="15.75" hidden="false" customHeight="true" outlineLevel="0" collapsed="false">
      <c r="A1" s="51" t="s">
        <v>256</v>
      </c>
      <c r="B1" s="135" t="s">
        <v>257</v>
      </c>
      <c r="C1" s="51" t="s">
        <v>258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customFormat="false" ht="15.75" hidden="false" customHeight="true" outlineLevel="0" collapsed="false">
      <c r="A2" s="136" t="s">
        <v>38</v>
      </c>
      <c r="B2" s="137" t="s">
        <v>259</v>
      </c>
      <c r="C2" s="86" t="n">
        <v>7</v>
      </c>
    </row>
    <row r="3" customFormat="false" ht="15.75" hidden="false" customHeight="true" outlineLevel="0" collapsed="false">
      <c r="A3" s="136" t="s">
        <v>39</v>
      </c>
      <c r="B3" s="138" t="s">
        <v>260</v>
      </c>
      <c r="C3" s="86" t="n">
        <v>0</v>
      </c>
    </row>
    <row r="4" customFormat="false" ht="15.75" hidden="false" customHeight="true" outlineLevel="0" collapsed="false">
      <c r="A4" s="136" t="s">
        <v>41</v>
      </c>
      <c r="B4" s="137" t="s">
        <v>261</v>
      </c>
      <c r="C4" s="86" t="n">
        <v>11</v>
      </c>
    </row>
    <row r="5" customFormat="false" ht="15.75" hidden="false" customHeight="true" outlineLevel="0" collapsed="false">
      <c r="A5" s="136" t="s">
        <v>42</v>
      </c>
      <c r="B5" s="137" t="s">
        <v>262</v>
      </c>
      <c r="C5" s="86" t="n">
        <v>25</v>
      </c>
    </row>
    <row r="6" customFormat="false" ht="15.75" hidden="false" customHeight="true" outlineLevel="0" collapsed="false">
      <c r="A6" s="136" t="s">
        <v>263</v>
      </c>
      <c r="B6" s="138" t="s">
        <v>264</v>
      </c>
      <c r="C6" s="86" t="n">
        <v>5</v>
      </c>
    </row>
    <row r="7" customFormat="false" ht="15.75" hidden="false" customHeight="true" outlineLevel="0" collapsed="false">
      <c r="A7" s="136" t="s">
        <v>44</v>
      </c>
      <c r="B7" s="138" t="s">
        <v>265</v>
      </c>
      <c r="C7" s="86" t="n">
        <v>4</v>
      </c>
    </row>
    <row r="8" customFormat="false" ht="15.75" hidden="false" customHeight="true" outlineLevel="0" collapsed="false">
      <c r="A8" s="136" t="s">
        <v>45</v>
      </c>
      <c r="B8" s="137" t="s">
        <v>266</v>
      </c>
      <c r="C8" s="86" t="n">
        <v>7</v>
      </c>
    </row>
    <row r="9" customFormat="false" ht="15.75" hidden="false" customHeight="true" outlineLevel="0" collapsed="false">
      <c r="A9" s="136" t="s">
        <v>46</v>
      </c>
      <c r="B9" s="137" t="s">
        <v>267</v>
      </c>
      <c r="C9" s="86" t="n">
        <v>5</v>
      </c>
    </row>
    <row r="10" customFormat="false" ht="15.75" hidden="false" customHeight="true" outlineLevel="0" collapsed="false">
      <c r="A10" s="136" t="s">
        <v>47</v>
      </c>
      <c r="B10" s="137" t="s">
        <v>268</v>
      </c>
      <c r="C10" s="86" t="n">
        <v>8</v>
      </c>
    </row>
    <row r="11" customFormat="false" ht="15.75" hidden="false" customHeight="true" outlineLevel="0" collapsed="false">
      <c r="A11" s="136" t="s">
        <v>48</v>
      </c>
      <c r="B11" s="137" t="s">
        <v>269</v>
      </c>
      <c r="C11" s="86" t="n">
        <v>3</v>
      </c>
    </row>
    <row r="12" customFormat="false" ht="15.75" hidden="false" customHeight="true" outlineLevel="0" collapsed="false">
      <c r="A12" s="136" t="s">
        <v>49</v>
      </c>
      <c r="B12" s="137" t="s">
        <v>270</v>
      </c>
      <c r="C12" s="86" t="n">
        <v>5</v>
      </c>
    </row>
    <row r="13" customFormat="false" ht="15.75" hidden="false" customHeight="true" outlineLevel="0" collapsed="false">
      <c r="A13" s="136" t="s">
        <v>50</v>
      </c>
      <c r="B13" s="137" t="s">
        <v>271</v>
      </c>
      <c r="C13" s="86" t="n">
        <v>5</v>
      </c>
    </row>
    <row r="14" customFormat="false" ht="15.75" hidden="false" customHeight="true" outlineLevel="0" collapsed="false">
      <c r="A14" s="136" t="s">
        <v>51</v>
      </c>
      <c r="B14" s="137" t="s">
        <v>272</v>
      </c>
      <c r="C14" s="86" t="n">
        <v>6</v>
      </c>
    </row>
    <row r="15" customFormat="false" ht="15.75" hidden="false" customHeight="true" outlineLevel="0" collapsed="false">
      <c r="A15" s="136" t="s">
        <v>52</v>
      </c>
      <c r="B15" s="137" t="s">
        <v>273</v>
      </c>
      <c r="C15" s="86" t="n">
        <v>5</v>
      </c>
    </row>
    <row r="17" customFormat="false" ht="15.75" hidden="false" customHeight="true" outlineLevel="0" collapsed="false">
      <c r="A17" s="51" t="s">
        <v>256</v>
      </c>
      <c r="B17" s="135" t="s">
        <v>156</v>
      </c>
      <c r="C17" s="51" t="s">
        <v>258</v>
      </c>
    </row>
    <row r="18" customFormat="false" ht="15.75" hidden="false" customHeight="true" outlineLevel="0" collapsed="false">
      <c r="A18" s="136" t="s">
        <v>38</v>
      </c>
      <c r="B18" s="137" t="s">
        <v>274</v>
      </c>
      <c r="C18" s="86" t="n">
        <v>5</v>
      </c>
    </row>
    <row r="19" customFormat="false" ht="15.75" hidden="false" customHeight="true" outlineLevel="0" collapsed="false">
      <c r="A19" s="136" t="s">
        <v>39</v>
      </c>
      <c r="B19" s="138" t="s">
        <v>275</v>
      </c>
      <c r="C19" s="86" t="n">
        <v>2</v>
      </c>
    </row>
    <row r="20" customFormat="false" ht="15.75" hidden="false" customHeight="true" outlineLevel="0" collapsed="false">
      <c r="A20" s="136" t="s">
        <v>41</v>
      </c>
      <c r="B20" s="137" t="s">
        <v>276</v>
      </c>
      <c r="C20" s="86" t="n">
        <v>5</v>
      </c>
    </row>
    <row r="21" customFormat="false" ht="15.75" hidden="false" customHeight="true" outlineLevel="0" collapsed="false">
      <c r="A21" s="136" t="s">
        <v>42</v>
      </c>
      <c r="B21" s="137" t="s">
        <v>277</v>
      </c>
      <c r="C21" s="86" t="n">
        <v>16</v>
      </c>
    </row>
    <row r="22" customFormat="false" ht="15.75" hidden="false" customHeight="true" outlineLevel="0" collapsed="false">
      <c r="A22" s="136" t="s">
        <v>44</v>
      </c>
      <c r="B22" s="138" t="s">
        <v>278</v>
      </c>
      <c r="C22" s="86" t="n">
        <v>3</v>
      </c>
    </row>
    <row r="23" customFormat="false" ht="15.75" hidden="false" customHeight="true" outlineLevel="0" collapsed="false">
      <c r="A23" s="136" t="s">
        <v>263</v>
      </c>
      <c r="B23" s="137" t="s">
        <v>279</v>
      </c>
      <c r="C23" s="86" t="n">
        <v>3</v>
      </c>
    </row>
    <row r="24" customFormat="false" ht="15.75" hidden="false" customHeight="true" outlineLevel="0" collapsed="false">
      <c r="A24" s="136" t="s">
        <v>45</v>
      </c>
      <c r="B24" s="137" t="s">
        <v>280</v>
      </c>
      <c r="C24" s="86" t="n">
        <v>0</v>
      </c>
    </row>
    <row r="25" customFormat="false" ht="15.75" hidden="false" customHeight="true" outlineLevel="0" collapsed="false">
      <c r="A25" s="136" t="s">
        <v>46</v>
      </c>
      <c r="B25" s="137" t="s">
        <v>281</v>
      </c>
      <c r="C25" s="86" t="n">
        <v>2</v>
      </c>
    </row>
    <row r="26" customFormat="false" ht="15.75" hidden="false" customHeight="true" outlineLevel="0" collapsed="false">
      <c r="A26" s="136" t="s">
        <v>47</v>
      </c>
      <c r="B26" s="137" t="s">
        <v>282</v>
      </c>
      <c r="C26" s="86" t="n">
        <v>7</v>
      </c>
    </row>
    <row r="27" customFormat="false" ht="15.75" hidden="false" customHeight="true" outlineLevel="0" collapsed="false">
      <c r="A27" s="136" t="s">
        <v>48</v>
      </c>
      <c r="B27" s="137" t="s">
        <v>283</v>
      </c>
      <c r="C27" s="86" t="n">
        <v>4</v>
      </c>
    </row>
    <row r="28" customFormat="false" ht="15.75" hidden="false" customHeight="true" outlineLevel="0" collapsed="false">
      <c r="A28" s="136" t="s">
        <v>49</v>
      </c>
      <c r="B28" s="137" t="s">
        <v>284</v>
      </c>
      <c r="C28" s="86" t="n">
        <v>4</v>
      </c>
    </row>
    <row r="29" customFormat="false" ht="15.75" hidden="false" customHeight="true" outlineLevel="0" collapsed="false">
      <c r="A29" s="136" t="s">
        <v>50</v>
      </c>
      <c r="B29" s="137" t="s">
        <v>285</v>
      </c>
      <c r="C29" s="86" t="n">
        <v>4</v>
      </c>
    </row>
    <row r="30" customFormat="false" ht="15.75" hidden="false" customHeight="true" outlineLevel="0" collapsed="false">
      <c r="A30" s="136" t="s">
        <v>51</v>
      </c>
      <c r="B30" s="137" t="s">
        <v>286</v>
      </c>
      <c r="C30" s="86" t="n">
        <v>5</v>
      </c>
    </row>
    <row r="31" customFormat="false" ht="15.75" hidden="false" customHeight="true" outlineLevel="0" collapsed="false">
      <c r="A31" s="136" t="s">
        <v>52</v>
      </c>
      <c r="B31" s="137" t="s">
        <v>287</v>
      </c>
      <c r="C31" s="86" t="n">
        <v>4</v>
      </c>
    </row>
    <row r="33" customFormat="false" ht="15.75" hidden="false" customHeight="true" outlineLevel="0" collapsed="false">
      <c r="A33" s="51" t="s">
        <v>256</v>
      </c>
      <c r="B33" s="135" t="s">
        <v>288</v>
      </c>
      <c r="C33" s="51" t="s">
        <v>258</v>
      </c>
    </row>
    <row r="34" customFormat="false" ht="15.75" hidden="false" customHeight="true" outlineLevel="0" collapsed="false">
      <c r="A34" s="136" t="s">
        <v>38</v>
      </c>
      <c r="B34" s="137" t="s">
        <v>289</v>
      </c>
      <c r="C34" s="86" t="n">
        <v>4</v>
      </c>
    </row>
    <row r="35" customFormat="false" ht="15.75" hidden="false" customHeight="true" outlineLevel="0" collapsed="false">
      <c r="A35" s="136" t="s">
        <v>39</v>
      </c>
      <c r="B35" s="138" t="s">
        <v>290</v>
      </c>
      <c r="C35" s="86" t="n">
        <v>1</v>
      </c>
    </row>
    <row r="36" customFormat="false" ht="15.75" hidden="false" customHeight="true" outlineLevel="0" collapsed="false">
      <c r="A36" s="136" t="s">
        <v>41</v>
      </c>
      <c r="B36" s="137" t="s">
        <v>291</v>
      </c>
      <c r="C36" s="86" t="n">
        <v>3</v>
      </c>
    </row>
    <row r="37" customFormat="false" ht="15.75" hidden="false" customHeight="true" outlineLevel="0" collapsed="false">
      <c r="A37" s="136" t="s">
        <v>42</v>
      </c>
      <c r="B37" s="137" t="s">
        <v>292</v>
      </c>
      <c r="C37" s="86" t="n">
        <v>11</v>
      </c>
    </row>
    <row r="38" customFormat="false" ht="15.75" hidden="false" customHeight="true" outlineLevel="0" collapsed="false">
      <c r="A38" s="136" t="s">
        <v>263</v>
      </c>
      <c r="B38" s="137" t="s">
        <v>293</v>
      </c>
      <c r="C38" s="86" t="n">
        <v>2</v>
      </c>
    </row>
    <row r="39" customFormat="false" ht="15.75" hidden="false" customHeight="true" outlineLevel="0" collapsed="false">
      <c r="A39" s="136" t="s">
        <v>44</v>
      </c>
      <c r="B39" s="138" t="s">
        <v>294</v>
      </c>
      <c r="C39" s="86" t="n">
        <v>2</v>
      </c>
    </row>
    <row r="40" customFormat="false" ht="15.75" hidden="false" customHeight="true" outlineLevel="0" collapsed="false">
      <c r="A40" s="136" t="s">
        <v>45</v>
      </c>
      <c r="B40" s="137" t="s">
        <v>295</v>
      </c>
      <c r="C40" s="86" t="n">
        <v>3</v>
      </c>
    </row>
    <row r="41" customFormat="false" ht="15.75" hidden="false" customHeight="true" outlineLevel="0" collapsed="false">
      <c r="A41" s="136" t="s">
        <v>46</v>
      </c>
      <c r="B41" s="137" t="s">
        <v>296</v>
      </c>
      <c r="C41" s="86" t="n">
        <v>1</v>
      </c>
    </row>
    <row r="42" customFormat="false" ht="15.75" hidden="false" customHeight="true" outlineLevel="0" collapsed="false">
      <c r="A42" s="136" t="s">
        <v>47</v>
      </c>
      <c r="B42" s="137" t="s">
        <v>297</v>
      </c>
      <c r="C42" s="86" t="n">
        <v>4</v>
      </c>
    </row>
    <row r="43" customFormat="false" ht="15.75" hidden="false" customHeight="true" outlineLevel="0" collapsed="false">
      <c r="A43" s="136" t="s">
        <v>48</v>
      </c>
      <c r="B43" s="137" t="s">
        <v>298</v>
      </c>
      <c r="C43" s="86" t="n">
        <v>1</v>
      </c>
    </row>
    <row r="44" customFormat="false" ht="15.75" hidden="false" customHeight="true" outlineLevel="0" collapsed="false">
      <c r="A44" s="136" t="s">
        <v>49</v>
      </c>
      <c r="B44" s="137" t="s">
        <v>299</v>
      </c>
      <c r="C44" s="86" t="n">
        <v>2</v>
      </c>
    </row>
    <row r="45" customFormat="false" ht="15.75" hidden="false" customHeight="true" outlineLevel="0" collapsed="false">
      <c r="A45" s="136" t="s">
        <v>50</v>
      </c>
      <c r="B45" s="138" t="s">
        <v>300</v>
      </c>
      <c r="C45" s="86" t="n">
        <v>4</v>
      </c>
    </row>
    <row r="46" customFormat="false" ht="15.75" hidden="false" customHeight="true" outlineLevel="0" collapsed="false">
      <c r="A46" s="136" t="s">
        <v>51</v>
      </c>
      <c r="B46" s="138" t="s">
        <v>301</v>
      </c>
      <c r="C46" s="86" t="n">
        <v>4</v>
      </c>
    </row>
    <row r="47" customFormat="false" ht="15.75" hidden="false" customHeight="true" outlineLevel="0" collapsed="false">
      <c r="A47" s="136" t="s">
        <v>52</v>
      </c>
      <c r="B47" s="138" t="s">
        <v>302</v>
      </c>
      <c r="C47" s="86" t="n">
        <v>3</v>
      </c>
    </row>
  </sheetData>
  <hyperlinks>
    <hyperlink ref="B2" r:id="rId1" display="https://scholar.google.com.br/citations?user=pBQVTUkAAAAJ"/>
    <hyperlink ref="B3" r:id="rId2" display="https://scholar.google.com/citations?user=bwkYcu4AAAAJ&amp;hl=pt-BR"/>
    <hyperlink ref="B4" r:id="rId3" display="https://scholar.google.com.br/citations?user=WQflRMIAAAAJ"/>
    <hyperlink ref="B5" r:id="rId4" display="https://scholar.google.com.br/citations?user=uloLWtgAAAAJ"/>
    <hyperlink ref="B6" r:id="rId5" display="https://scholar.google.com.br/citations?user=kJT37q4AAAAJ"/>
    <hyperlink ref="B7" r:id="rId6" display="https://scholar.google.com/citations?user=pNL2V2sAAAAJ"/>
    <hyperlink ref="B8" r:id="rId7" display="https://scholar.google.com.br/citations?user=nZfS3qoAAAAJ"/>
    <hyperlink ref="B9" r:id="rId8" display="https://scholar.google.com.br/citations?user=4AwT7X8AAAAJ"/>
    <hyperlink ref="B10" r:id="rId9" display="https://scholar.google.com.br/citations?user=fYjzAYMAAAAJ"/>
    <hyperlink ref="B11" r:id="rId10" display="https://scholar.google.com.br/citations?user=nz-6EN4AAAAJ"/>
    <hyperlink ref="B12" r:id="rId11" display="https://scholar.google.com.br/citations?user=Fc2hY1AAAAAJ"/>
    <hyperlink ref="B13" r:id="rId12" display="https://scholar.google.com.br/citations?user=IA70H1UAAAAJ"/>
    <hyperlink ref="B14" r:id="rId13" display="https://scholar.google.com.br/citations?user=XF-fXTAAAAAJ"/>
    <hyperlink ref="B15" r:id="rId14" display="https://scholar.google.com.br/citations?user=KLgK4c4AAAAJ"/>
    <hyperlink ref="B18" r:id="rId15" display="https://www.scopus.com/authid/detail.uri?authorId=32867459900"/>
    <hyperlink ref="B19" r:id="rId16" display="https://www.scopus.com/authid/detail.uri?authorId=57205767413"/>
    <hyperlink ref="B20" r:id="rId17" display="https://www.scopus.com/authid/detail.uri?authorId=6506097045"/>
    <hyperlink ref="B21" r:id="rId18" display="https://www.scopus.com/authid/detail.uri?authorId=33368211600"/>
    <hyperlink ref="B22" r:id="rId19" display="https://www.scopus.com/authid/detail.uri?authorId=55953969800"/>
    <hyperlink ref="B23" r:id="rId20" display="https://www.scopus.com/authid/detail.uri?authorId=57204646715"/>
    <hyperlink ref="B24" r:id="rId21" display="https://www.scopus.com/authid/detail.uri?authorId=57076135000"/>
    <hyperlink ref="B25" r:id="rId22" display="https://www.scopus.com/authid/detail.uri?authorId=56119522800"/>
    <hyperlink ref="B26" r:id="rId23" display="https://www.scopus.com/authid/detail.uri?authorId=36175635600"/>
    <hyperlink ref="B27" r:id="rId24" display="https://www.scopus.com/authid/detail.uri?authorId=56121141300"/>
    <hyperlink ref="B28" r:id="rId25" display="https://www.scopus.com/authid/detail.uri?authorId=56019958100"/>
    <hyperlink ref="B29" r:id="rId26" display="https://www.scopus.com/authid/detail.uri?authorId=6603959869"/>
    <hyperlink ref="B30" r:id="rId27" display="https://www.scopus.com/authid/detail.uri?authorId=15753781000"/>
    <hyperlink ref="B31" r:id="rId28" display="https://www.scopus.com/authid/detail.uri?authorId=56160998600"/>
    <hyperlink ref="B34" r:id="rId29" display="http://www.researcherid.com/rid/P-4281-2016"/>
    <hyperlink ref="B35" r:id="rId30" display="https://publons.com/researcher/5118168/diogo-silveira-mendonca"/>
    <hyperlink ref="B36" r:id="rId31" display="http://www.researcherid.com/rid/H-2402-2018"/>
    <hyperlink ref="B37" r:id="rId32" display="http://www.researcherid.com/rid/N-6438-2014"/>
    <hyperlink ref="B38" r:id="rId33" display="http://www.researcherid.com/rid/AAC-4169-2019"/>
    <hyperlink ref="B39" r:id="rId34" display="https://publons.com/researcher/V-2663-2018/"/>
    <hyperlink ref="B40" r:id="rId35" display="http://www.researcherid.com/rid/H-3227-2018"/>
    <hyperlink ref="B41" r:id="rId36" display="http://www.researcherid.com/rid/O-8069-2016"/>
    <hyperlink ref="B42" r:id="rId37" display="http://www.researcherid.com/rid/O-6246-2016"/>
    <hyperlink ref="B43" r:id="rId38" display="http://www.researcherid.com/rid/A-5553-2018"/>
    <hyperlink ref="B44" r:id="rId39" display="http://www.researcherid.com/rid/H-3218-2018"/>
    <hyperlink ref="B45" r:id="rId40" display="http://www.researcherid.com/rid/O-3981-2018"/>
    <hyperlink ref="B46" r:id="rId41" display="http://www.researcherid.com/rid/F-6102-2015"/>
    <hyperlink ref="B47" r:id="rId42" display="http://www.researcherid.com/rid/Q-4514-2017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53" activeCellId="0" sqref="B53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30" width="50.87"/>
    <col collapsed="false" customWidth="true" hidden="false" outlineLevel="0" max="3" min="3" style="30" width="18.63"/>
  </cols>
  <sheetData>
    <row r="1" customFormat="false" ht="15.75" hidden="false" customHeight="true" outlineLevel="0" collapsed="false">
      <c r="A1" s="139" t="s">
        <v>303</v>
      </c>
      <c r="B1" s="139" t="s">
        <v>304</v>
      </c>
      <c r="C1" s="140" t="s">
        <v>305</v>
      </c>
      <c r="D1" s="141" t="n">
        <v>44551</v>
      </c>
    </row>
    <row r="2" customFormat="false" ht="15.75" hidden="false" customHeight="true" outlineLevel="0" collapsed="false">
      <c r="A2" s="30" t="s">
        <v>306</v>
      </c>
      <c r="B2" s="30" t="s">
        <v>307</v>
      </c>
    </row>
    <row r="3" customFormat="false" ht="15.75" hidden="false" customHeight="true" outlineLevel="0" collapsed="false">
      <c r="A3" s="30" t="s">
        <v>190</v>
      </c>
      <c r="B3" s="30" t="s">
        <v>308</v>
      </c>
    </row>
    <row r="4" customFormat="false" ht="15.75" hidden="false" customHeight="true" outlineLevel="0" collapsed="false">
      <c r="A4" s="30" t="s">
        <v>309</v>
      </c>
      <c r="B4" s="30" t="s">
        <v>307</v>
      </c>
    </row>
    <row r="5" customFormat="false" ht="15.75" hidden="false" customHeight="true" outlineLevel="0" collapsed="false">
      <c r="A5" s="30" t="s">
        <v>193</v>
      </c>
      <c r="B5" s="30" t="s">
        <v>308</v>
      </c>
    </row>
    <row r="6" customFormat="false" ht="15.75" hidden="false" customHeight="true" outlineLevel="0" collapsed="false">
      <c r="A6" s="30" t="s">
        <v>191</v>
      </c>
      <c r="B6" s="30" t="s">
        <v>308</v>
      </c>
    </row>
    <row r="7" customFormat="false" ht="15.75" hidden="false" customHeight="true" outlineLevel="0" collapsed="false">
      <c r="A7" s="30" t="s">
        <v>310</v>
      </c>
      <c r="B7" s="30" t="s">
        <v>311</v>
      </c>
    </row>
    <row r="8" customFormat="false" ht="15.75" hidden="false" customHeight="true" outlineLevel="0" collapsed="false">
      <c r="A8" s="30" t="s">
        <v>312</v>
      </c>
      <c r="B8" s="30" t="s">
        <v>311</v>
      </c>
    </row>
    <row r="9" customFormat="false" ht="15.75" hidden="false" customHeight="true" outlineLevel="0" collapsed="false">
      <c r="A9" s="30" t="s">
        <v>199</v>
      </c>
      <c r="B9" s="30" t="s">
        <v>308</v>
      </c>
    </row>
    <row r="10" customFormat="false" ht="15.75" hidden="false" customHeight="true" outlineLevel="0" collapsed="false">
      <c r="A10" s="30" t="s">
        <v>313</v>
      </c>
      <c r="B10" s="30" t="s">
        <v>311</v>
      </c>
    </row>
    <row r="11" customFormat="false" ht="15.75" hidden="false" customHeight="true" outlineLevel="0" collapsed="false">
      <c r="A11" s="30" t="s">
        <v>314</v>
      </c>
      <c r="B11" s="30" t="s">
        <v>307</v>
      </c>
    </row>
    <row r="12" customFormat="false" ht="15.75" hidden="false" customHeight="true" outlineLevel="0" collapsed="false">
      <c r="A12" s="30" t="s">
        <v>315</v>
      </c>
      <c r="B12" s="30" t="s">
        <v>311</v>
      </c>
    </row>
    <row r="13" customFormat="false" ht="15.75" hidden="false" customHeight="true" outlineLevel="0" collapsed="false">
      <c r="A13" s="30" t="s">
        <v>316</v>
      </c>
      <c r="B13" s="30" t="s">
        <v>311</v>
      </c>
    </row>
    <row r="14" customFormat="false" ht="15.75" hidden="false" customHeight="true" outlineLevel="0" collapsed="false">
      <c r="A14" s="30" t="s">
        <v>317</v>
      </c>
      <c r="B14" s="30" t="s">
        <v>311</v>
      </c>
    </row>
    <row r="15" customFormat="false" ht="15.75" hidden="false" customHeight="true" outlineLevel="0" collapsed="false">
      <c r="A15" s="30" t="s">
        <v>318</v>
      </c>
      <c r="B15" s="30" t="s">
        <v>311</v>
      </c>
    </row>
    <row r="16" customFormat="false" ht="15.75" hidden="false" customHeight="true" outlineLevel="0" collapsed="false">
      <c r="A16" s="30" t="s">
        <v>319</v>
      </c>
      <c r="B16" s="30" t="s">
        <v>307</v>
      </c>
    </row>
    <row r="17" customFormat="false" ht="15.75" hidden="false" customHeight="true" outlineLevel="0" collapsed="false">
      <c r="A17" s="30" t="s">
        <v>142</v>
      </c>
      <c r="B17" s="30" t="s">
        <v>308</v>
      </c>
    </row>
    <row r="18" customFormat="false" ht="15.75" hidden="false" customHeight="true" outlineLevel="0" collapsed="false">
      <c r="A18" s="30" t="s">
        <v>194</v>
      </c>
      <c r="B18" s="30" t="s">
        <v>311</v>
      </c>
    </row>
    <row r="19" customFormat="false" ht="15.75" hidden="false" customHeight="true" outlineLevel="0" collapsed="false">
      <c r="A19" s="30" t="s">
        <v>320</v>
      </c>
      <c r="B19" s="30" t="s">
        <v>311</v>
      </c>
    </row>
    <row r="20" customFormat="false" ht="15.75" hidden="false" customHeight="true" outlineLevel="0" collapsed="false">
      <c r="A20" s="30" t="s">
        <v>321</v>
      </c>
      <c r="B20" s="30" t="s">
        <v>311</v>
      </c>
    </row>
    <row r="21" customFormat="false" ht="15.75" hidden="false" customHeight="true" outlineLevel="0" collapsed="false">
      <c r="A21" s="30" t="s">
        <v>322</v>
      </c>
      <c r="B21" s="30" t="s">
        <v>308</v>
      </c>
    </row>
    <row r="22" customFormat="false" ht="15.75" hidden="false" customHeight="true" outlineLevel="0" collapsed="false">
      <c r="A22" s="30" t="s">
        <v>323</v>
      </c>
      <c r="B22" s="30" t="s">
        <v>307</v>
      </c>
    </row>
    <row r="23" customFormat="false" ht="15.75" hidden="false" customHeight="true" outlineLevel="0" collapsed="false">
      <c r="A23" s="30" t="s">
        <v>208</v>
      </c>
      <c r="B23" s="30" t="s">
        <v>308</v>
      </c>
    </row>
    <row r="24" customFormat="false" ht="15.75" hidden="false" customHeight="true" outlineLevel="0" collapsed="false">
      <c r="A24" s="30" t="s">
        <v>211</v>
      </c>
      <c r="B24" s="30" t="s">
        <v>308</v>
      </c>
    </row>
    <row r="25" customFormat="false" ht="15.75" hidden="false" customHeight="true" outlineLevel="0" collapsed="false">
      <c r="A25" s="30" t="s">
        <v>324</v>
      </c>
      <c r="B25" s="30" t="s">
        <v>307</v>
      </c>
    </row>
    <row r="26" customFormat="false" ht="15.75" hidden="false" customHeight="true" outlineLevel="0" collapsed="false">
      <c r="A26" s="30" t="s">
        <v>215</v>
      </c>
      <c r="B26" s="30" t="s">
        <v>307</v>
      </c>
    </row>
    <row r="27" customFormat="false" ht="15.75" hidden="false" customHeight="true" outlineLevel="0" collapsed="false">
      <c r="A27" s="30" t="s">
        <v>325</v>
      </c>
      <c r="B27" s="30" t="s">
        <v>311</v>
      </c>
    </row>
    <row r="28" customFormat="false" ht="15.75" hidden="false" customHeight="true" outlineLevel="0" collapsed="false">
      <c r="A28" s="30" t="s">
        <v>197</v>
      </c>
      <c r="B28" s="30" t="s">
        <v>308</v>
      </c>
    </row>
    <row r="29" customFormat="false" ht="15.75" hidden="false" customHeight="true" outlineLevel="0" collapsed="false">
      <c r="A29" s="30" t="s">
        <v>189</v>
      </c>
      <c r="B29" s="30" t="s">
        <v>311</v>
      </c>
    </row>
    <row r="30" customFormat="false" ht="15.75" hidden="false" customHeight="true" outlineLevel="0" collapsed="false">
      <c r="A30" s="30" t="s">
        <v>326</v>
      </c>
      <c r="B30" s="30" t="s">
        <v>311</v>
      </c>
    </row>
    <row r="31" customFormat="false" ht="15.75" hidden="false" customHeight="true" outlineLevel="0" collapsed="false">
      <c r="A31" s="30" t="s">
        <v>327</v>
      </c>
      <c r="B31" s="30" t="s">
        <v>311</v>
      </c>
    </row>
    <row r="32" customFormat="false" ht="15.75" hidden="false" customHeight="true" outlineLevel="0" collapsed="false">
      <c r="A32" s="30" t="s">
        <v>328</v>
      </c>
      <c r="B32" s="30" t="s">
        <v>307</v>
      </c>
    </row>
    <row r="33" customFormat="false" ht="15.75" hidden="false" customHeight="true" outlineLevel="0" collapsed="false">
      <c r="A33" s="30" t="s">
        <v>222</v>
      </c>
      <c r="B33" s="30" t="s">
        <v>311</v>
      </c>
    </row>
    <row r="34" customFormat="false" ht="15.75" hidden="false" customHeight="true" outlineLevel="0" collapsed="false">
      <c r="A34" s="30" t="s">
        <v>329</v>
      </c>
      <c r="B34" s="30" t="s">
        <v>311</v>
      </c>
    </row>
    <row r="35" customFormat="false" ht="15.75" hidden="false" customHeight="true" outlineLevel="0" collapsed="false">
      <c r="A35" s="30" t="s">
        <v>330</v>
      </c>
      <c r="B35" s="30" t="s">
        <v>307</v>
      </c>
    </row>
    <row r="36" customFormat="false" ht="15.75" hidden="false" customHeight="true" outlineLevel="0" collapsed="false">
      <c r="A36" s="30" t="s">
        <v>200</v>
      </c>
      <c r="B36" s="30" t="s">
        <v>308</v>
      </c>
    </row>
    <row r="37" customFormat="false" ht="15.75" hidden="false" customHeight="true" outlineLevel="0" collapsed="false">
      <c r="A37" s="30" t="s">
        <v>331</v>
      </c>
      <c r="B37" s="30" t="s">
        <v>311</v>
      </c>
    </row>
    <row r="38" customFormat="false" ht="15.75" hidden="false" customHeight="true" outlineLevel="0" collapsed="false">
      <c r="A38" s="30" t="s">
        <v>332</v>
      </c>
      <c r="B38" s="30" t="s">
        <v>307</v>
      </c>
    </row>
    <row r="39" customFormat="false" ht="15.75" hidden="false" customHeight="true" outlineLevel="0" collapsed="false">
      <c r="A39" s="30" t="s">
        <v>333</v>
      </c>
      <c r="B39" s="30" t="s">
        <v>307</v>
      </c>
    </row>
    <row r="40" customFormat="false" ht="15.75" hidden="false" customHeight="true" outlineLevel="0" collapsed="false">
      <c r="A40" s="30" t="s">
        <v>334</v>
      </c>
      <c r="B40" s="30" t="s">
        <v>311</v>
      </c>
    </row>
    <row r="41" customFormat="false" ht="15.75" hidden="false" customHeight="true" outlineLevel="0" collapsed="false">
      <c r="A41" s="30" t="s">
        <v>335</v>
      </c>
      <c r="B41" s="30" t="s">
        <v>311</v>
      </c>
    </row>
    <row r="42" customFormat="false" ht="15.75" hidden="false" customHeight="true" outlineLevel="0" collapsed="false">
      <c r="A42" s="30" t="s">
        <v>227</v>
      </c>
      <c r="B42" s="30" t="s">
        <v>308</v>
      </c>
    </row>
    <row r="43" customFormat="false" ht="15.75" hidden="false" customHeight="true" outlineLevel="0" collapsed="false">
      <c r="A43" s="30" t="s">
        <v>202</v>
      </c>
      <c r="B43" s="30" t="s">
        <v>308</v>
      </c>
    </row>
    <row r="44" customFormat="false" ht="15.75" hidden="false" customHeight="true" outlineLevel="0" collapsed="false">
      <c r="A44" s="30" t="s">
        <v>336</v>
      </c>
      <c r="B44" s="30" t="s">
        <v>311</v>
      </c>
    </row>
    <row r="45" customFormat="false" ht="15.75" hidden="false" customHeight="true" outlineLevel="0" collapsed="false">
      <c r="A45" s="30" t="s">
        <v>231</v>
      </c>
      <c r="B45" s="30" t="s">
        <v>308</v>
      </c>
    </row>
    <row r="46" customFormat="false" ht="15.75" hidden="false" customHeight="true" outlineLevel="0" collapsed="false">
      <c r="A46" s="30" t="s">
        <v>337</v>
      </c>
      <c r="B46" s="30" t="s">
        <v>307</v>
      </c>
    </row>
    <row r="47" customFormat="false" ht="15.75" hidden="false" customHeight="true" outlineLevel="0" collapsed="false">
      <c r="A47" s="30" t="s">
        <v>205</v>
      </c>
      <c r="B47" s="30" t="s">
        <v>308</v>
      </c>
    </row>
    <row r="48" customFormat="false" ht="15.75" hidden="false" customHeight="true" outlineLevel="0" collapsed="false">
      <c r="A48" s="30" t="s">
        <v>338</v>
      </c>
      <c r="B48" s="30" t="s">
        <v>311</v>
      </c>
    </row>
    <row r="49" customFormat="false" ht="15.75" hidden="false" customHeight="true" outlineLevel="0" collapsed="false">
      <c r="A49" s="30" t="s">
        <v>339</v>
      </c>
      <c r="B49" s="30" t="s">
        <v>311</v>
      </c>
    </row>
    <row r="50" customFormat="false" ht="15.75" hidden="false" customHeight="true" outlineLevel="0" collapsed="false">
      <c r="A50" s="30" t="s">
        <v>192</v>
      </c>
      <c r="B50" s="30" t="s">
        <v>308</v>
      </c>
    </row>
    <row r="51" customFormat="false" ht="15.75" hidden="false" customHeight="true" outlineLevel="0" collapsed="false">
      <c r="A51" s="30" t="s">
        <v>239</v>
      </c>
      <c r="B51" s="30" t="s">
        <v>308</v>
      </c>
    </row>
    <row r="52" customFormat="false" ht="15.75" hidden="false" customHeight="true" outlineLevel="0" collapsed="false">
      <c r="A52" s="30" t="s">
        <v>212</v>
      </c>
      <c r="B52" s="30" t="s">
        <v>311</v>
      </c>
    </row>
    <row r="53" customFormat="false" ht="15.75" hidden="false" customHeight="true" outlineLevel="0" collapsed="false">
      <c r="A53" s="30" t="s">
        <v>216</v>
      </c>
      <c r="B53" s="30" t="s">
        <v>308</v>
      </c>
    </row>
    <row r="54" customFormat="false" ht="15.75" hidden="false" customHeight="true" outlineLevel="0" collapsed="false">
      <c r="A54" s="30" t="s">
        <v>340</v>
      </c>
      <c r="B54" s="30" t="s">
        <v>311</v>
      </c>
    </row>
    <row r="55" customFormat="false" ht="15.75" hidden="false" customHeight="true" outlineLevel="0" collapsed="false">
      <c r="A55" s="30" t="s">
        <v>341</v>
      </c>
      <c r="B55" s="30" t="s">
        <v>308</v>
      </c>
    </row>
    <row r="56" customFormat="false" ht="15.75" hidden="false" customHeight="true" outlineLevel="0" collapsed="false">
      <c r="A56" s="30" t="s">
        <v>342</v>
      </c>
      <c r="B56" s="30" t="s">
        <v>311</v>
      </c>
    </row>
    <row r="57" customFormat="false" ht="15.75" hidden="false" customHeight="true" outlineLevel="0" collapsed="false">
      <c r="A57" s="30" t="s">
        <v>343</v>
      </c>
      <c r="B57" s="30" t="s">
        <v>311</v>
      </c>
    </row>
    <row r="58" customFormat="false" ht="15.75" hidden="false" customHeight="true" outlineLevel="0" collapsed="false">
      <c r="A58" s="30" t="s">
        <v>196</v>
      </c>
      <c r="B58" s="30" t="s">
        <v>308</v>
      </c>
    </row>
    <row r="59" customFormat="false" ht="15.75" hidden="false" customHeight="true" outlineLevel="0" collapsed="false">
      <c r="A59" s="30" t="s">
        <v>344</v>
      </c>
      <c r="B59" s="30" t="s">
        <v>311</v>
      </c>
    </row>
    <row r="60" customFormat="false" ht="15.75" hidden="false" customHeight="true" outlineLevel="0" collapsed="false">
      <c r="A60" s="30" t="s">
        <v>219</v>
      </c>
      <c r="B60" s="30" t="s">
        <v>308</v>
      </c>
    </row>
    <row r="61" customFormat="false" ht="15.75" hidden="false" customHeight="true" outlineLevel="0" collapsed="false">
      <c r="A61" s="30" t="s">
        <v>345</v>
      </c>
      <c r="B61" s="30" t="s">
        <v>311</v>
      </c>
    </row>
    <row r="62" customFormat="false" ht="15.75" hidden="false" customHeight="true" outlineLevel="0" collapsed="false">
      <c r="A62" s="30" t="s">
        <v>198</v>
      </c>
      <c r="B62" s="30" t="s">
        <v>308</v>
      </c>
    </row>
    <row r="63" customFormat="false" ht="15.75" hidden="false" customHeight="true" outlineLevel="0" collapsed="false">
      <c r="A63" s="30" t="s">
        <v>223</v>
      </c>
      <c r="B63" s="30" t="s">
        <v>307</v>
      </c>
    </row>
    <row r="64" customFormat="false" ht="15.75" hidden="false" customHeight="true" outlineLevel="0" collapsed="false">
      <c r="A64" s="30" t="s">
        <v>346</v>
      </c>
      <c r="B64" s="30" t="s">
        <v>311</v>
      </c>
    </row>
    <row r="65" customFormat="false" ht="15.75" hidden="false" customHeight="true" outlineLevel="0" collapsed="false">
      <c r="A65" s="30" t="s">
        <v>347</v>
      </c>
      <c r="B65" s="30" t="s">
        <v>311</v>
      </c>
    </row>
    <row r="66" customFormat="false" ht="15.75" hidden="false" customHeight="true" outlineLevel="0" collapsed="false">
      <c r="A66" s="30" t="s">
        <v>348</v>
      </c>
      <c r="B66" s="30" t="s">
        <v>311</v>
      </c>
    </row>
    <row r="67" customFormat="false" ht="15.75" hidden="false" customHeight="true" outlineLevel="0" collapsed="false">
      <c r="A67" s="30" t="s">
        <v>201</v>
      </c>
      <c r="B67" s="30" t="s">
        <v>308</v>
      </c>
    </row>
    <row r="68" customFormat="false" ht="15.75" hidden="false" customHeight="true" outlineLevel="0" collapsed="false">
      <c r="A68" s="30" t="s">
        <v>349</v>
      </c>
      <c r="B68" s="30" t="s">
        <v>311</v>
      </c>
    </row>
    <row r="69" customFormat="false" ht="15.75" hidden="false" customHeight="true" outlineLevel="0" collapsed="false">
      <c r="A69" s="30" t="s">
        <v>225</v>
      </c>
      <c r="B69" s="30" t="s">
        <v>308</v>
      </c>
    </row>
    <row r="70" customFormat="false" ht="15.75" hidden="false" customHeight="true" outlineLevel="0" collapsed="false">
      <c r="A70" s="30" t="s">
        <v>228</v>
      </c>
      <c r="B70" s="30" t="s">
        <v>308</v>
      </c>
    </row>
    <row r="71" customFormat="false" ht="15.75" hidden="false" customHeight="true" outlineLevel="0" collapsed="false">
      <c r="A71" s="30" t="s">
        <v>203</v>
      </c>
      <c r="B71" s="30" t="s">
        <v>308</v>
      </c>
    </row>
    <row r="72" customFormat="false" ht="15.75" hidden="false" customHeight="true" outlineLevel="0" collapsed="false">
      <c r="A72" s="30" t="s">
        <v>350</v>
      </c>
      <c r="B72" s="30" t="s">
        <v>311</v>
      </c>
    </row>
    <row r="73" customFormat="false" ht="15.75" hidden="false" customHeight="true" outlineLevel="0" collapsed="false">
      <c r="A73" s="30" t="s">
        <v>351</v>
      </c>
      <c r="B73" s="30" t="s">
        <v>311</v>
      </c>
    </row>
    <row r="74" customFormat="false" ht="15.75" hidden="false" customHeight="true" outlineLevel="0" collapsed="false">
      <c r="A74" s="30" t="s">
        <v>352</v>
      </c>
      <c r="B74" s="30" t="s">
        <v>308</v>
      </c>
    </row>
    <row r="75" customFormat="false" ht="15.75" hidden="false" customHeight="true" outlineLevel="0" collapsed="false">
      <c r="A75" s="30" t="s">
        <v>353</v>
      </c>
      <c r="B75" s="30" t="s">
        <v>307</v>
      </c>
    </row>
    <row r="76" customFormat="false" ht="15.75" hidden="false" customHeight="true" outlineLevel="0" collapsed="false">
      <c r="A76" s="30" t="s">
        <v>354</v>
      </c>
      <c r="B76" s="30" t="s">
        <v>311</v>
      </c>
    </row>
    <row r="77" customFormat="false" ht="15.75" hidden="false" customHeight="true" outlineLevel="0" collapsed="false">
      <c r="A77" s="30" t="s">
        <v>230</v>
      </c>
      <c r="B77" s="30" t="s">
        <v>308</v>
      </c>
    </row>
    <row r="78" customFormat="false" ht="15.75" hidden="false" customHeight="true" outlineLevel="0" collapsed="false">
      <c r="A78" s="30" t="s">
        <v>355</v>
      </c>
      <c r="B78" s="30" t="s">
        <v>311</v>
      </c>
    </row>
    <row r="79" customFormat="false" ht="15.75" hidden="false" customHeight="true" outlineLevel="0" collapsed="false">
      <c r="A79" s="30" t="s">
        <v>356</v>
      </c>
      <c r="B79" s="30" t="s">
        <v>311</v>
      </c>
    </row>
    <row r="80" customFormat="false" ht="15.75" hidden="false" customHeight="true" outlineLevel="0" collapsed="false">
      <c r="A80" s="30" t="s">
        <v>357</v>
      </c>
      <c r="B80" s="30" t="s">
        <v>311</v>
      </c>
    </row>
    <row r="81" customFormat="false" ht="15.75" hidden="false" customHeight="true" outlineLevel="0" collapsed="false">
      <c r="A81" s="30" t="s">
        <v>358</v>
      </c>
      <c r="B81" s="30" t="s">
        <v>307</v>
      </c>
    </row>
    <row r="82" customFormat="false" ht="15.75" hidden="false" customHeight="true" outlineLevel="0" collapsed="false">
      <c r="A82" s="30" t="s">
        <v>359</v>
      </c>
      <c r="B82" s="30" t="s">
        <v>307</v>
      </c>
    </row>
    <row r="83" customFormat="false" ht="15.75" hidden="false" customHeight="true" outlineLevel="0" collapsed="false">
      <c r="A83" s="30" t="s">
        <v>360</v>
      </c>
      <c r="B83" s="30" t="s">
        <v>307</v>
      </c>
    </row>
    <row r="84" customFormat="false" ht="15.75" hidden="false" customHeight="true" outlineLevel="0" collapsed="false">
      <c r="A84" s="30" t="s">
        <v>361</v>
      </c>
      <c r="B84" s="30" t="s">
        <v>308</v>
      </c>
    </row>
    <row r="85" customFormat="false" ht="15.75" hidden="false" customHeight="true" outlineLevel="0" collapsed="false">
      <c r="A85" s="30" t="s">
        <v>362</v>
      </c>
      <c r="B85" s="30" t="s">
        <v>311</v>
      </c>
    </row>
    <row r="86" customFormat="false" ht="15.75" hidden="false" customHeight="true" outlineLevel="0" collapsed="false">
      <c r="A86" s="30" t="s">
        <v>363</v>
      </c>
      <c r="B86" s="30" t="s">
        <v>307</v>
      </c>
    </row>
    <row r="87" customFormat="false" ht="15.75" hidden="false" customHeight="true" outlineLevel="0" collapsed="false">
      <c r="A87" s="30" t="s">
        <v>364</v>
      </c>
      <c r="B87" s="30" t="s">
        <v>311</v>
      </c>
    </row>
    <row r="88" customFormat="false" ht="15.75" hidden="false" customHeight="true" outlineLevel="0" collapsed="false">
      <c r="A88" s="30" t="s">
        <v>365</v>
      </c>
      <c r="B88" s="30" t="s">
        <v>311</v>
      </c>
    </row>
    <row r="89" customFormat="false" ht="15.75" hidden="false" customHeight="true" outlineLevel="0" collapsed="false">
      <c r="A89" s="30" t="s">
        <v>366</v>
      </c>
      <c r="B89" s="30" t="s">
        <v>311</v>
      </c>
    </row>
    <row r="90" customFormat="false" ht="15.75" hidden="false" customHeight="true" outlineLevel="0" collapsed="false">
      <c r="A90" s="30" t="s">
        <v>367</v>
      </c>
      <c r="B90" s="30" t="s">
        <v>311</v>
      </c>
    </row>
    <row r="91" customFormat="false" ht="15.75" hidden="false" customHeight="true" outlineLevel="0" collapsed="false">
      <c r="A91" s="30" t="s">
        <v>368</v>
      </c>
      <c r="B91" s="30" t="s">
        <v>311</v>
      </c>
    </row>
    <row r="92" customFormat="false" ht="15.75" hidden="false" customHeight="true" outlineLevel="0" collapsed="false">
      <c r="A92" s="30" t="s">
        <v>369</v>
      </c>
      <c r="B92" s="30" t="s">
        <v>307</v>
      </c>
    </row>
    <row r="93" customFormat="false" ht="15.75" hidden="false" customHeight="true" outlineLevel="0" collapsed="false">
      <c r="A93" s="30" t="s">
        <v>370</v>
      </c>
      <c r="B93" s="30" t="s">
        <v>311</v>
      </c>
    </row>
    <row r="94" customFormat="false" ht="15.75" hidden="false" customHeight="true" outlineLevel="0" collapsed="false">
      <c r="A94" s="30" t="s">
        <v>204</v>
      </c>
      <c r="B94" s="30" t="s">
        <v>308</v>
      </c>
    </row>
    <row r="95" customFormat="false" ht="15.75" hidden="false" customHeight="true" outlineLevel="0" collapsed="false">
      <c r="A95" s="30" t="s">
        <v>207</v>
      </c>
      <c r="B95" s="30" t="s">
        <v>308</v>
      </c>
    </row>
    <row r="96" customFormat="false" ht="15.75" hidden="false" customHeight="true" outlineLevel="0" collapsed="false">
      <c r="A96" s="30" t="s">
        <v>236</v>
      </c>
      <c r="B96" s="30" t="s">
        <v>308</v>
      </c>
    </row>
    <row r="97" customFormat="false" ht="15.75" hidden="false" customHeight="true" outlineLevel="0" collapsed="false">
      <c r="A97" s="30" t="s">
        <v>371</v>
      </c>
      <c r="B97" s="30" t="s">
        <v>308</v>
      </c>
    </row>
    <row r="98" customFormat="false" ht="15.75" hidden="false" customHeight="true" outlineLevel="0" collapsed="false">
      <c r="A98" s="30" t="s">
        <v>372</v>
      </c>
      <c r="B98" s="30" t="s">
        <v>307</v>
      </c>
    </row>
    <row r="99" customFormat="false" ht="15.75" hidden="false" customHeight="true" outlineLevel="0" collapsed="false">
      <c r="A99" s="30" t="s">
        <v>373</v>
      </c>
      <c r="B99" s="30" t="s">
        <v>307</v>
      </c>
    </row>
    <row r="100" customFormat="false" ht="15.75" hidden="false" customHeight="true" outlineLevel="0" collapsed="false">
      <c r="A100" s="30" t="s">
        <v>210</v>
      </c>
      <c r="B100" s="30" t="s">
        <v>308</v>
      </c>
    </row>
    <row r="101" customFormat="false" ht="15.75" hidden="false" customHeight="true" outlineLevel="0" collapsed="false">
      <c r="A101" s="30" t="s">
        <v>214</v>
      </c>
      <c r="B101" s="30" t="s">
        <v>308</v>
      </c>
    </row>
    <row r="102" customFormat="false" ht="15.75" hidden="false" customHeight="true" outlineLevel="0" collapsed="false">
      <c r="A102" s="30" t="s">
        <v>374</v>
      </c>
      <c r="B102" s="30" t="s">
        <v>311</v>
      </c>
    </row>
    <row r="103" customFormat="false" ht="15.75" hidden="false" customHeight="true" outlineLevel="0" collapsed="false">
      <c r="A103" s="30" t="s">
        <v>240</v>
      </c>
      <c r="B103" s="30" t="s">
        <v>311</v>
      </c>
    </row>
    <row r="104" customFormat="false" ht="15.75" hidden="false" customHeight="true" outlineLevel="0" collapsed="false">
      <c r="A104" s="30" t="s">
        <v>375</v>
      </c>
      <c r="B104" s="30" t="s">
        <v>308</v>
      </c>
    </row>
    <row r="105" customFormat="false" ht="15.75" hidden="false" customHeight="true" outlineLevel="0" collapsed="false">
      <c r="A105" s="30" t="s">
        <v>376</v>
      </c>
      <c r="B105" s="30" t="s">
        <v>311</v>
      </c>
    </row>
    <row r="106" customFormat="false" ht="15.75" hidden="false" customHeight="true" outlineLevel="0" collapsed="false">
      <c r="A106" s="30" t="s">
        <v>377</v>
      </c>
      <c r="B106" s="30" t="s">
        <v>311</v>
      </c>
    </row>
    <row r="107" customFormat="false" ht="15.75" hidden="false" customHeight="true" outlineLevel="0" collapsed="false">
      <c r="A107" s="30" t="s">
        <v>221</v>
      </c>
      <c r="B107" s="30" t="s">
        <v>308</v>
      </c>
    </row>
    <row r="108" customFormat="false" ht="15.75" hidden="false" customHeight="true" outlineLevel="0" collapsed="false">
      <c r="A108" s="30" t="s">
        <v>253</v>
      </c>
      <c r="B108" s="30" t="s">
        <v>308</v>
      </c>
    </row>
    <row r="109" customFormat="false" ht="15.75" hidden="false" customHeight="true" outlineLevel="0" collapsed="false">
      <c r="A109" s="30" t="s">
        <v>378</v>
      </c>
      <c r="B109" s="30" t="s">
        <v>311</v>
      </c>
    </row>
    <row r="110" customFormat="false" ht="15.75" hidden="false" customHeight="true" outlineLevel="0" collapsed="false">
      <c r="A110" s="30" t="s">
        <v>242</v>
      </c>
      <c r="B110" s="30" t="s">
        <v>308</v>
      </c>
    </row>
    <row r="111" customFormat="false" ht="15.75" hidden="false" customHeight="true" outlineLevel="0" collapsed="false">
      <c r="A111" s="30" t="s">
        <v>379</v>
      </c>
      <c r="B111" s="30" t="s">
        <v>311</v>
      </c>
    </row>
    <row r="112" customFormat="false" ht="15.75" hidden="false" customHeight="true" outlineLevel="0" collapsed="false">
      <c r="A112" s="30" t="s">
        <v>380</v>
      </c>
      <c r="B112" s="30" t="s">
        <v>311</v>
      </c>
    </row>
    <row r="113" customFormat="false" ht="15.75" hidden="false" customHeight="true" outlineLevel="0" collapsed="false">
      <c r="A113" s="30" t="s">
        <v>381</v>
      </c>
      <c r="B113" s="30" t="s">
        <v>307</v>
      </c>
    </row>
    <row r="114" customFormat="false" ht="15.75" hidden="false" customHeight="true" outlineLevel="0" collapsed="false">
      <c r="A114" s="30" t="s">
        <v>382</v>
      </c>
      <c r="B114" s="30" t="s">
        <v>307</v>
      </c>
    </row>
    <row r="115" customFormat="false" ht="15.75" hidden="false" customHeight="true" outlineLevel="0" collapsed="false">
      <c r="A115" s="30" t="s">
        <v>383</v>
      </c>
      <c r="B115" s="30" t="s">
        <v>307</v>
      </c>
    </row>
    <row r="116" customFormat="false" ht="15.75" hidden="false" customHeight="true" outlineLevel="0" collapsed="false">
      <c r="A116" s="30" t="s">
        <v>384</v>
      </c>
      <c r="B116" s="30" t="s">
        <v>307</v>
      </c>
    </row>
    <row r="117" customFormat="false" ht="15.75" hidden="false" customHeight="true" outlineLevel="0" collapsed="false">
      <c r="A117" s="30" t="s">
        <v>385</v>
      </c>
      <c r="B117" s="30" t="s">
        <v>311</v>
      </c>
    </row>
    <row r="118" customFormat="false" ht="15.75" hidden="false" customHeight="true" outlineLevel="0" collapsed="false">
      <c r="A118" s="30" t="s">
        <v>386</v>
      </c>
      <c r="B118" s="30" t="s">
        <v>311</v>
      </c>
    </row>
    <row r="119" customFormat="false" ht="15.75" hidden="false" customHeight="true" outlineLevel="0" collapsed="false">
      <c r="A119" s="30" t="s">
        <v>243</v>
      </c>
      <c r="B119" s="30" t="s">
        <v>308</v>
      </c>
    </row>
    <row r="120" customFormat="false" ht="15.75" hidden="false" customHeight="true" outlineLevel="0" collapsed="false">
      <c r="A120" s="30" t="s">
        <v>218</v>
      </c>
      <c r="B120" s="30" t="s">
        <v>311</v>
      </c>
    </row>
    <row r="121" customFormat="false" ht="15.75" hidden="false" customHeight="true" outlineLevel="0" collapsed="false">
      <c r="A121" s="30" t="s">
        <v>387</v>
      </c>
      <c r="B121" s="30" t="s">
        <v>311</v>
      </c>
    </row>
    <row r="122" customFormat="false" ht="15.75" hidden="false" customHeight="true" outlineLevel="0" collapsed="false">
      <c r="A122" s="30" t="s">
        <v>388</v>
      </c>
      <c r="B122" s="30" t="s">
        <v>311</v>
      </c>
    </row>
    <row r="123" customFormat="false" ht="15.75" hidden="false" customHeight="true" outlineLevel="0" collapsed="false">
      <c r="A123" s="30" t="s">
        <v>389</v>
      </c>
      <c r="B123" s="30" t="s">
        <v>311</v>
      </c>
    </row>
    <row r="124" customFormat="false" ht="15.75" hidden="false" customHeight="true" outlineLevel="0" collapsed="false">
      <c r="A124" s="30" t="s">
        <v>390</v>
      </c>
      <c r="B124" s="30" t="s">
        <v>311</v>
      </c>
    </row>
    <row r="125" customFormat="false" ht="15.75" hidden="false" customHeight="true" outlineLevel="0" collapsed="false">
      <c r="A125" s="30" t="s">
        <v>391</v>
      </c>
      <c r="B125" s="30" t="s">
        <v>308</v>
      </c>
    </row>
    <row r="126" customFormat="false" ht="15.75" hidden="false" customHeight="true" outlineLevel="0" collapsed="false">
      <c r="A126" s="30" t="s">
        <v>392</v>
      </c>
      <c r="B126" s="30" t="s">
        <v>311</v>
      </c>
    </row>
    <row r="127" customFormat="false" ht="15.75" hidden="false" customHeight="true" outlineLevel="0" collapsed="false">
      <c r="A127" s="30" t="s">
        <v>393</v>
      </c>
      <c r="B127" s="30" t="s">
        <v>307</v>
      </c>
    </row>
    <row r="128" customFormat="false" ht="15.75" hidden="false" customHeight="true" outlineLevel="0" collapsed="false">
      <c r="A128" s="30" t="s">
        <v>394</v>
      </c>
      <c r="B128" s="30" t="s">
        <v>307</v>
      </c>
    </row>
  </sheetData>
  <autoFilter ref="A1:B1">
    <sortState ref="A2:B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30" width="50.87"/>
    <col collapsed="false" customWidth="true" hidden="false" outlineLevel="0" max="3" min="2" style="30" width="14.87"/>
    <col collapsed="false" customWidth="true" hidden="false" outlineLevel="0" max="4" min="4" style="30" width="18.63"/>
  </cols>
  <sheetData>
    <row r="1" customFormat="false" ht="15.75" hidden="false" customHeight="true" outlineLevel="0" collapsed="false">
      <c r="A1" s="139" t="s">
        <v>303</v>
      </c>
      <c r="B1" s="139" t="s">
        <v>304</v>
      </c>
      <c r="C1" s="139" t="s">
        <v>395</v>
      </c>
      <c r="D1" s="140" t="s">
        <v>305</v>
      </c>
      <c r="E1" s="141" t="n">
        <v>44717</v>
      </c>
    </row>
    <row r="2" customFormat="false" ht="15.75" hidden="false" customHeight="true" outlineLevel="0" collapsed="false">
      <c r="A2" s="30" t="s">
        <v>38</v>
      </c>
      <c r="B2" s="30" t="s">
        <v>396</v>
      </c>
      <c r="C2" s="6" t="s">
        <v>397</v>
      </c>
    </row>
    <row r="3" customFormat="false" ht="15.75" hidden="false" customHeight="true" outlineLevel="0" collapsed="false">
      <c r="A3" s="30" t="s">
        <v>37</v>
      </c>
      <c r="B3" s="30" t="s">
        <v>398</v>
      </c>
      <c r="C3" s="6" t="s">
        <v>399</v>
      </c>
    </row>
    <row r="4" customFormat="false" ht="15.75" hidden="false" customHeight="true" outlineLevel="0" collapsed="false">
      <c r="A4" s="30" t="s">
        <v>39</v>
      </c>
      <c r="B4" s="30" t="s">
        <v>400</v>
      </c>
      <c r="C4" s="142" t="s">
        <v>401</v>
      </c>
    </row>
    <row r="5" customFormat="false" ht="15.75" hidden="false" customHeight="true" outlineLevel="0" collapsed="false">
      <c r="A5" s="30" t="s">
        <v>41</v>
      </c>
      <c r="B5" s="30" t="s">
        <v>396</v>
      </c>
      <c r="C5" s="6" t="s">
        <v>397</v>
      </c>
    </row>
    <row r="6" customFormat="false" ht="15.75" hidden="false" customHeight="true" outlineLevel="0" collapsed="false">
      <c r="A6" s="30" t="s">
        <v>42</v>
      </c>
      <c r="B6" s="30" t="s">
        <v>396</v>
      </c>
      <c r="C6" s="6" t="s">
        <v>397</v>
      </c>
    </row>
    <row r="7" customFormat="false" ht="15.75" hidden="false" customHeight="true" outlineLevel="0" collapsed="false">
      <c r="A7" s="30" t="s">
        <v>43</v>
      </c>
      <c r="B7" s="30" t="s">
        <v>396</v>
      </c>
      <c r="C7" s="6" t="s">
        <v>402</v>
      </c>
    </row>
    <row r="8" customFormat="false" ht="15.75" hidden="false" customHeight="true" outlineLevel="0" collapsed="false">
      <c r="A8" s="30" t="s">
        <v>44</v>
      </c>
      <c r="B8" s="30" t="s">
        <v>400</v>
      </c>
      <c r="C8" s="142" t="s">
        <v>401</v>
      </c>
    </row>
    <row r="9" customFormat="false" ht="15.75" hidden="false" customHeight="true" outlineLevel="0" collapsed="false">
      <c r="A9" s="30" t="s">
        <v>45</v>
      </c>
      <c r="B9" s="30" t="s">
        <v>396</v>
      </c>
      <c r="C9" s="142" t="s">
        <v>397</v>
      </c>
    </row>
    <row r="10" customFormat="false" ht="15.75" hidden="false" customHeight="true" outlineLevel="0" collapsed="false">
      <c r="A10" s="30" t="s">
        <v>403</v>
      </c>
      <c r="B10" s="30" t="s">
        <v>396</v>
      </c>
      <c r="C10" s="142" t="s">
        <v>397</v>
      </c>
    </row>
    <row r="11" customFormat="false" ht="15.75" hidden="false" customHeight="true" outlineLevel="0" collapsed="false">
      <c r="A11" s="30" t="s">
        <v>404</v>
      </c>
      <c r="B11" s="30" t="s">
        <v>396</v>
      </c>
      <c r="C11" s="142" t="s">
        <v>397</v>
      </c>
    </row>
    <row r="12" customFormat="false" ht="15.75" hidden="false" customHeight="true" outlineLevel="0" collapsed="false">
      <c r="A12" s="30" t="s">
        <v>48</v>
      </c>
      <c r="B12" s="30" t="s">
        <v>396</v>
      </c>
      <c r="C12" s="142" t="s">
        <v>397</v>
      </c>
    </row>
    <row r="13" customFormat="false" ht="15.75" hidden="false" customHeight="true" outlineLevel="0" collapsed="false">
      <c r="A13" s="30" t="s">
        <v>49</v>
      </c>
      <c r="B13" s="30" t="s">
        <v>396</v>
      </c>
      <c r="C13" s="142" t="s">
        <v>397</v>
      </c>
    </row>
    <row r="14" customFormat="false" ht="15.75" hidden="false" customHeight="true" outlineLevel="0" collapsed="false">
      <c r="A14" s="30" t="s">
        <v>405</v>
      </c>
      <c r="B14" s="30" t="s">
        <v>396</v>
      </c>
      <c r="C14" s="142" t="s">
        <v>397</v>
      </c>
    </row>
    <row r="15" customFormat="false" ht="15.75" hidden="false" customHeight="true" outlineLevel="0" collapsed="false">
      <c r="A15" s="30" t="s">
        <v>406</v>
      </c>
      <c r="B15" s="30" t="s">
        <v>398</v>
      </c>
      <c r="C15" s="6" t="s">
        <v>399</v>
      </c>
    </row>
    <row r="16" customFormat="false" ht="15.75" hidden="false" customHeight="true" outlineLevel="0" collapsed="false">
      <c r="A16" s="30" t="s">
        <v>51</v>
      </c>
      <c r="B16" s="30" t="s">
        <v>396</v>
      </c>
      <c r="C16" s="142" t="s">
        <v>407</v>
      </c>
    </row>
    <row r="17" customFormat="false" ht="15.75" hidden="false" customHeight="true" outlineLevel="0" collapsed="false">
      <c r="A17" s="30" t="s">
        <v>52</v>
      </c>
      <c r="B17" s="30" t="s">
        <v>396</v>
      </c>
      <c r="C17" s="142" t="s">
        <v>407</v>
      </c>
    </row>
    <row r="18" customFormat="false" ht="15.75" hidden="false" customHeight="true" outlineLevel="0" collapsed="false">
      <c r="A18" s="30" t="s">
        <v>408</v>
      </c>
      <c r="B18" s="30" t="s">
        <v>398</v>
      </c>
      <c r="C18" s="142" t="s">
        <v>409</v>
      </c>
    </row>
  </sheetData>
  <autoFilter ref="A1:C1">
    <sortState ref="A2:C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K31" activeCellId="0" sqref="K31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30" width="46.12"/>
    <col collapsed="false" customWidth="true" hidden="false" outlineLevel="0" max="17" min="2" style="31" width="5.88"/>
    <col collapsed="false" customWidth="true" hidden="false" outlineLevel="0" max="18" min="18" style="31" width="14.87"/>
    <col collapsed="false" customWidth="true" hidden="false" outlineLevel="0" max="19" min="19" style="31" width="5.38"/>
    <col collapsed="false" customWidth="true" hidden="false" outlineLevel="0" max="20" min="20" style="30" width="5.38"/>
    <col collapsed="false" customWidth="true" hidden="false" outlineLevel="0" max="21" min="21" style="30" width="4.62"/>
    <col collapsed="false" customWidth="true" hidden="false" outlineLevel="0" max="22" min="22" style="30" width="5.62"/>
    <col collapsed="false" customWidth="true" hidden="false" outlineLevel="0" max="30" min="30" style="30" width="12.37"/>
  </cols>
  <sheetData>
    <row r="1" customFormat="false" ht="117.75" hidden="false" customHeight="true" outlineLevel="0" collapsed="false">
      <c r="A1" s="32" t="s">
        <v>36</v>
      </c>
      <c r="B1" s="33" t="s">
        <v>37</v>
      </c>
      <c r="C1" s="33" t="s">
        <v>38</v>
      </c>
      <c r="D1" s="33" t="s">
        <v>39</v>
      </c>
      <c r="E1" s="33" t="s">
        <v>40</v>
      </c>
      <c r="F1" s="33" t="s">
        <v>41</v>
      </c>
      <c r="G1" s="33" t="s">
        <v>42</v>
      </c>
      <c r="H1" s="33" t="s">
        <v>43</v>
      </c>
      <c r="I1" s="33" t="s">
        <v>44</v>
      </c>
      <c r="J1" s="33" t="s">
        <v>45</v>
      </c>
      <c r="K1" s="33" t="s">
        <v>46</v>
      </c>
      <c r="L1" s="33" t="s">
        <v>47</v>
      </c>
      <c r="M1" s="33" t="s">
        <v>48</v>
      </c>
      <c r="N1" s="33" t="s">
        <v>49</v>
      </c>
      <c r="O1" s="33" t="s">
        <v>50</v>
      </c>
      <c r="P1" s="33" t="s">
        <v>51</v>
      </c>
      <c r="Q1" s="33" t="s">
        <v>52</v>
      </c>
      <c r="R1" s="34" t="s">
        <v>53</v>
      </c>
      <c r="S1" s="35" t="s">
        <v>54</v>
      </c>
      <c r="U1" s="35" t="s">
        <v>55</v>
      </c>
    </row>
    <row r="2" customFormat="false" ht="15.75" hidden="false" customHeight="true" outlineLevel="0" collapsed="false">
      <c r="A2" s="32" t="s">
        <v>56</v>
      </c>
      <c r="B2" s="36" t="n">
        <v>1</v>
      </c>
      <c r="C2" s="36" t="n">
        <v>2</v>
      </c>
      <c r="D2" s="36"/>
      <c r="E2" s="36"/>
      <c r="F2" s="36" t="n">
        <v>2</v>
      </c>
      <c r="G2" s="36" t="n">
        <v>2</v>
      </c>
      <c r="H2" s="36" t="n">
        <v>2</v>
      </c>
      <c r="I2" s="36" t="n">
        <v>1</v>
      </c>
      <c r="J2" s="36" t="n">
        <v>2</v>
      </c>
      <c r="K2" s="36" t="n">
        <v>2</v>
      </c>
      <c r="L2" s="36" t="n">
        <v>2</v>
      </c>
      <c r="M2" s="36" t="n">
        <v>2</v>
      </c>
      <c r="N2" s="36" t="n">
        <v>2</v>
      </c>
      <c r="O2" s="36" t="n">
        <v>2</v>
      </c>
      <c r="P2" s="36" t="n">
        <v>2</v>
      </c>
      <c r="Q2" s="36" t="n">
        <v>2</v>
      </c>
      <c r="S2" s="37" t="n">
        <f aca="false">SUM(B2:Q2)/4</f>
        <v>6.5</v>
      </c>
      <c r="T2" s="38"/>
    </row>
    <row r="3" customFormat="false" ht="15.75" hidden="false" customHeight="true" outlineLevel="0" collapsed="false">
      <c r="A3" s="39" t="s">
        <v>57</v>
      </c>
    </row>
    <row r="4" customFormat="false" ht="15.75" hidden="false" customHeight="true" outlineLevel="0" collapsed="false">
      <c r="A4" s="40" t="s">
        <v>58</v>
      </c>
      <c r="B4" s="41" t="e">
        <f aca="false">SUMIFS(#REF!,Conferencias!K:K,1)</f>
        <v>#REF!</v>
      </c>
      <c r="C4" s="41" t="e">
        <f aca="false">SUMIFS(#REF!,#REF!,1)</f>
        <v>#VALUE!</v>
      </c>
      <c r="D4" s="41" t="e">
        <f aca="false">SUMIFS(#REF!,#REF!,1)</f>
        <v>#VALUE!</v>
      </c>
      <c r="E4" s="41" t="e">
        <f aca="false">SUMIFS(#REF!,#REF!,1)</f>
        <v>#VALUE!</v>
      </c>
      <c r="F4" s="41" t="e">
        <f aca="false">SUMIFS(#REF!,#REF!,1)</f>
        <v>#VALUE!</v>
      </c>
      <c r="G4" s="41" t="e">
        <f aca="false">SUMIFS(#REF!,#REF!,1)</f>
        <v>#VALUE!</v>
      </c>
      <c r="H4" s="41" t="e">
        <f aca="false">SUMIFS(#REF!,#REF!,1)</f>
        <v>#VALUE!</v>
      </c>
      <c r="I4" s="41" t="e">
        <f aca="false">SUMIFS(#REF!,#REF!,1)</f>
        <v>#VALUE!</v>
      </c>
      <c r="J4" s="41" t="e">
        <f aca="false">SUMIFS(#REF!,#REF!,1)</f>
        <v>#VALUE!</v>
      </c>
      <c r="K4" s="41" t="e">
        <f aca="false">SUMIFS(#REF!,#REF!,1)</f>
        <v>#VALUE!</v>
      </c>
      <c r="L4" s="41" t="e">
        <f aca="false">SUMIFS(#REF!,#REF!,1)</f>
        <v>#VALUE!</v>
      </c>
      <c r="M4" s="41" t="e">
        <f aca="false">SUMIFS(#REF!,#REF!,1)</f>
        <v>#VALUE!</v>
      </c>
      <c r="N4" s="41" t="e">
        <f aca="false">SUMIFS(#REF!,#REF!,1)</f>
        <v>#VALUE!</v>
      </c>
      <c r="O4" s="41" t="e">
        <f aca="false">SUMIFS(#REF!,#REF!,1)</f>
        <v>#VALUE!</v>
      </c>
      <c r="P4" s="41" t="e">
        <f aca="false">SUMIFS(#REF!,#REF!,1)</f>
        <v>#VALUE!</v>
      </c>
      <c r="Q4" s="41" t="e">
        <f aca="false">SUMIFS(#REF!,#REF!,1)</f>
        <v>#VALUE!</v>
      </c>
      <c r="R4" s="42" t="e">
        <f aca="false">SUM(#REF!)/SUM(B$2:Q$2)</f>
        <v>#REF!</v>
      </c>
      <c r="S4" s="42" t="e">
        <f aca="false">R4*4</f>
        <v>#REF!</v>
      </c>
      <c r="U4" s="42" t="n">
        <v>3.86</v>
      </c>
      <c r="V4" s="43" t="e">
        <f aca="false">S4/U4</f>
        <v>#REF!</v>
      </c>
    </row>
    <row r="5" customFormat="false" ht="15.75" hidden="false" customHeight="true" outlineLevel="0" collapsed="false">
      <c r="A5" s="44" t="s">
        <v>59</v>
      </c>
      <c r="B5" s="45" t="e">
        <f aca="false">SUMIFS(#REF!,Conferencias!K:K,1,Conferencias!$H:$H,1)</f>
        <v>#REF!</v>
      </c>
      <c r="C5" s="45" t="e">
        <f aca="false">SUMIFS(#REF!,#REF!,1,Conferencias!$H:$H,1)</f>
        <v>#VALUE!</v>
      </c>
      <c r="D5" s="45" t="e">
        <f aca="false">SUMIFS(#REF!,#REF!,1,Conferencias!$H:$H,1)</f>
        <v>#VALUE!</v>
      </c>
      <c r="E5" s="45" t="e">
        <f aca="false">SUMIFS(#REF!,#REF!,1,Conferencias!$H:$H,1)</f>
        <v>#VALUE!</v>
      </c>
      <c r="F5" s="45" t="e">
        <f aca="false">SUMIFS(#REF!,#REF!,1,Conferencias!$H:$H,1)</f>
        <v>#VALUE!</v>
      </c>
      <c r="G5" s="45" t="e">
        <f aca="false">SUMIFS(#REF!,#REF!,1,Conferencias!$H:$H,1)</f>
        <v>#VALUE!</v>
      </c>
      <c r="H5" s="45" t="e">
        <f aca="false">SUMIFS(#REF!,#REF!,1,Conferencias!$H:$H,1)</f>
        <v>#VALUE!</v>
      </c>
      <c r="I5" s="45" t="e">
        <f aca="false">SUMIFS(#REF!,#REF!,1,Conferencias!$H:$H,1)</f>
        <v>#VALUE!</v>
      </c>
      <c r="J5" s="45" t="e">
        <f aca="false">SUMIFS(#REF!,#REF!,1,Conferencias!$H:$H,1)</f>
        <v>#VALUE!</v>
      </c>
      <c r="K5" s="45" t="e">
        <f aca="false">SUMIFS(#REF!,#REF!,1,Conferencias!$H:$H,1)</f>
        <v>#VALUE!</v>
      </c>
      <c r="L5" s="45" t="e">
        <f aca="false">SUMIFS(#REF!,#REF!,1,Conferencias!$H:$H,1)</f>
        <v>#VALUE!</v>
      </c>
      <c r="M5" s="45" t="e">
        <f aca="false">SUMIFS(#REF!,#REF!,1,Conferencias!$H:$H,1)</f>
        <v>#VALUE!</v>
      </c>
      <c r="N5" s="45" t="e">
        <f aca="false">SUMIFS(#REF!,#REF!,1,Conferencias!$H:$H,1)</f>
        <v>#VALUE!</v>
      </c>
      <c r="O5" s="45" t="e">
        <f aca="false">SUMIFS(#REF!,#REF!,1,Conferencias!$H:$H,1)</f>
        <v>#VALUE!</v>
      </c>
      <c r="P5" s="45" t="e">
        <f aca="false">SUMIFS(#REF!,#REF!,1,Conferencias!$H:$H,1)</f>
        <v>#VALUE!</v>
      </c>
      <c r="Q5" s="45" t="e">
        <f aca="false">SUMIFS(#REF!,#REF!,1,Conferencias!$H:$H,1)</f>
        <v>#VALUE!</v>
      </c>
      <c r="R5" s="46" t="e">
        <f aca="false">SUMIFS(#REF!,Conferencias!$H:$H,1)/SUM(B$2:Q$2)</f>
        <v>#REF!</v>
      </c>
      <c r="S5" s="46" t="e">
        <f aca="false">R5*4</f>
        <v>#REF!</v>
      </c>
      <c r="U5" s="46" t="n">
        <v>2.76</v>
      </c>
      <c r="V5" s="43" t="e">
        <f aca="false">S5/U5</f>
        <v>#REF!</v>
      </c>
    </row>
    <row r="6" customFormat="false" ht="15.75" hidden="false" customHeight="true" outlineLevel="0" collapsed="false">
      <c r="A6" s="40" t="s">
        <v>60</v>
      </c>
      <c r="B6" s="41" t="e">
        <f aca="false">SUMIFS(#REF!,Conferencias!K:K,1,Conferencias!$I:$I,1)</f>
        <v>#REF!</v>
      </c>
      <c r="C6" s="41" t="e">
        <f aca="false">SUMIFS(#REF!,#REF!,1,Conferencias!$I:$I,1)</f>
        <v>#VALUE!</v>
      </c>
      <c r="D6" s="41" t="e">
        <f aca="false">SUMIFS(#REF!,#REF!,1,Conferencias!$I:$I,1)</f>
        <v>#VALUE!</v>
      </c>
      <c r="E6" s="41" t="e">
        <f aca="false">SUMIFS(#REF!,#REF!,1,Conferencias!$I:$I,1)</f>
        <v>#VALUE!</v>
      </c>
      <c r="F6" s="41" t="e">
        <f aca="false">SUMIFS(#REF!,#REF!,1,Conferencias!$I:$I,1)</f>
        <v>#VALUE!</v>
      </c>
      <c r="G6" s="41" t="e">
        <f aca="false">SUMIFS(#REF!,#REF!,1,Conferencias!$I:$I,1)</f>
        <v>#VALUE!</v>
      </c>
      <c r="H6" s="41" t="e">
        <f aca="false">SUMIFS(#REF!,#REF!,1,Conferencias!$I:$I,1)</f>
        <v>#VALUE!</v>
      </c>
      <c r="I6" s="41" t="e">
        <f aca="false">SUMIFS(#REF!,#REF!,1)</f>
        <v>#VALUE!</v>
      </c>
      <c r="J6" s="41" t="e">
        <f aca="false">SUMIFS(#REF!,#REF!,1,Conferencias!$I:$I,1)</f>
        <v>#VALUE!</v>
      </c>
      <c r="K6" s="41" t="e">
        <f aca="false">SUMIFS(#REF!,#REF!,1,Conferencias!$I:$I,1)</f>
        <v>#VALUE!</v>
      </c>
      <c r="L6" s="41" t="e">
        <f aca="false">SUMIFS(#REF!,#REF!,1,Conferencias!$I:$I,1)</f>
        <v>#VALUE!</v>
      </c>
      <c r="M6" s="41" t="e">
        <f aca="false">SUMIFS(#REF!,#REF!,1,Conferencias!$I:$I,1)</f>
        <v>#VALUE!</v>
      </c>
      <c r="N6" s="41" t="e">
        <f aca="false">SUMIFS(#REF!,#REF!,1,Conferencias!$I:$I,1)</f>
        <v>#VALUE!</v>
      </c>
      <c r="O6" s="41" t="e">
        <f aca="false">SUMIFS(#REF!,#REF!,1,Conferencias!$I:$I,1)</f>
        <v>#VALUE!</v>
      </c>
      <c r="P6" s="41" t="e">
        <f aca="false">SUMIFS(#REF!,#REF!,1,Conferencias!$I:$I,1)</f>
        <v>#VALUE!</v>
      </c>
      <c r="Q6" s="41" t="e">
        <f aca="false">SUMIFS(#REF!,#REF!,1,Conferencias!$I:$I,1)</f>
        <v>#VALUE!</v>
      </c>
      <c r="R6" s="42" t="e">
        <f aca="false">SUMIFS(#REF!,Conferencias!$I:$I,1)/SUM(B$2:Q$2)</f>
        <v>#REF!</v>
      </c>
      <c r="S6" s="42" t="e">
        <f aca="false">R6*4</f>
        <v>#REF!</v>
      </c>
      <c r="U6" s="42" t="n">
        <v>2.07</v>
      </c>
      <c r="V6" s="43" t="e">
        <f aca="false">S6/U6</f>
        <v>#REF!</v>
      </c>
    </row>
    <row r="7" customFormat="false" ht="15.75" hidden="false" customHeight="true" outlineLevel="0" collapsed="false">
      <c r="A7" s="47" t="s">
        <v>61</v>
      </c>
      <c r="B7" s="48" t="e">
        <f aca="false">SUMIFS(#REF!,Conferencias!K:K,1,Conferencias!$H:$H,1,Conferencias!$I:$I,1)</f>
        <v>#REF!</v>
      </c>
      <c r="C7" s="48" t="e">
        <f aca="false">SUMIFS(#REF!,#REF!,1,Conferencias!$H:$H,1,Conferencias!$I:$I,1)</f>
        <v>#VALUE!</v>
      </c>
      <c r="D7" s="48" t="e">
        <f aca="false">SUMIFS(#REF!,#REF!,1,Conferencias!$H:$H,1,Conferencias!$I:$I,1)</f>
        <v>#VALUE!</v>
      </c>
      <c r="E7" s="48" t="e">
        <f aca="false">SUMIFS(#REF!,#REF!,1,Conferencias!$H:$H,1,Conferencias!$I:$I,1)</f>
        <v>#VALUE!</v>
      </c>
      <c r="F7" s="48" t="e">
        <f aca="false">SUMIFS(#REF!,#REF!,1,Conferencias!$H:$H,1,Conferencias!$I:$I,1)</f>
        <v>#VALUE!</v>
      </c>
      <c r="G7" s="48" t="e">
        <f aca="false">SUMIFS(#REF!,#REF!,1,Conferencias!$H:$H,1,Conferencias!$I:$I,1)</f>
        <v>#VALUE!</v>
      </c>
      <c r="H7" s="48" t="e">
        <f aca="false">SUMIFS(#REF!,#REF!,1,Conferencias!$H:$H,1,Conferencias!$I:$I,1)</f>
        <v>#VALUE!</v>
      </c>
      <c r="I7" s="48" t="e">
        <f aca="false">SUMIFS(#REF!,#REF!,1,Conferencias!$H:$H,1,Conferencias!$I:$I,1)</f>
        <v>#VALUE!</v>
      </c>
      <c r="J7" s="48" t="e">
        <f aca="false">SUMIFS(#REF!,#REF!,1,Conferencias!$H:$H,1,Conferencias!$I:$I,1)</f>
        <v>#VALUE!</v>
      </c>
      <c r="K7" s="48" t="e">
        <f aca="false">SUMIFS(#REF!,#REF!,1,Conferencias!$H:$H,1,Conferencias!$I:$I,1)</f>
        <v>#VALUE!</v>
      </c>
      <c r="L7" s="48" t="e">
        <f aca="false">SUMIFS(#REF!,#REF!,1,Conferencias!$H:$H,1,Conferencias!$I:$I,1)</f>
        <v>#VALUE!</v>
      </c>
      <c r="M7" s="48" t="e">
        <f aca="false">SUMIFS(#REF!,#REF!,1,Conferencias!$H:$H,1,Conferencias!$I:$I,1)</f>
        <v>#VALUE!</v>
      </c>
      <c r="N7" s="48" t="e">
        <f aca="false">SUMIFS(#REF!,#REF!,1,Conferencias!$H:$H,1,Conferencias!$I:$I,1)</f>
        <v>#VALUE!</v>
      </c>
      <c r="O7" s="48" t="e">
        <f aca="false">SUMIFS(#REF!,#REF!,1,Conferencias!$H:$H,1,Conferencias!$I:$I,1)</f>
        <v>#VALUE!</v>
      </c>
      <c r="P7" s="48" t="e">
        <f aca="false">SUMIFS(#REF!,#REF!,1,Conferencias!$H:$H,1,Conferencias!$I:$I,1)</f>
        <v>#VALUE!</v>
      </c>
      <c r="Q7" s="48" t="e">
        <f aca="false">SUMIFS(#REF!,#REF!,1,Conferencias!$H:$H,1,Conferencias!$I:$I,1)</f>
        <v>#VALUE!</v>
      </c>
      <c r="R7" s="49" t="e">
        <f aca="false">SUMIFS(#REF!,Conferencias!$H:$H,1,Conferencias!$I:$I,1)/SUM(B$2:Q$2)</f>
        <v>#REF!</v>
      </c>
      <c r="S7" s="49" t="e">
        <f aca="false">R7*4</f>
        <v>#REF!</v>
      </c>
      <c r="U7" s="49" t="n">
        <v>1.48</v>
      </c>
      <c r="V7" s="43" t="e">
        <f aca="false">S7/U7</f>
        <v>#REF!</v>
      </c>
    </row>
    <row r="8" customFormat="false" ht="15.75" hidden="false" customHeight="true" outlineLevel="0" collapsed="false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50"/>
      <c r="S8" s="50"/>
    </row>
    <row r="9" customFormat="false" ht="15.75" hidden="false" customHeight="true" outlineLevel="0" collapsed="false">
      <c r="A9" s="39" t="s">
        <v>62</v>
      </c>
    </row>
    <row r="10" customFormat="false" ht="15.75" hidden="false" customHeight="true" outlineLevel="0" collapsed="false">
      <c r="A10" s="40" t="s">
        <v>58</v>
      </c>
      <c r="B10" s="41" t="n">
        <f aca="false">SUMIFS(Periodicos!$AB:$AB,Periodicos!K:K,1)</f>
        <v>0</v>
      </c>
      <c r="C10" s="41" t="n">
        <f aca="false">SUMIFS(Periodicos!$AB:$AB,Periodicos!L:L,1)</f>
        <v>0</v>
      </c>
      <c r="D10" s="41" t="n">
        <f aca="false">SUMIFS(Periodicos!$AB:$AB,Periodicos!M:M,1)</f>
        <v>0</v>
      </c>
      <c r="E10" s="41" t="n">
        <f aca="false">SUMIFS(Periodicos!$AB:$AB,Periodicos!N:N,1)</f>
        <v>0</v>
      </c>
      <c r="F10" s="41" t="n">
        <f aca="false">SUMIFS(Periodicos!$AB:$AB,Periodicos!O:O,1)</f>
        <v>0</v>
      </c>
      <c r="G10" s="41" t="n">
        <f aca="false">SUMIFS(Periodicos!$AB:$AB,Periodicos!P:P,1)</f>
        <v>0</v>
      </c>
      <c r="H10" s="41" t="n">
        <f aca="false">SUMIFS(Periodicos!$AB:$AB,Periodicos!Q:Q,1)</f>
        <v>0</v>
      </c>
      <c r="I10" s="41" t="n">
        <f aca="false">SUMIFS(Periodicos!$AB:$AB,Periodicos!R:R,1)</f>
        <v>0</v>
      </c>
      <c r="J10" s="41" t="n">
        <f aca="false">SUMIFS(Periodicos!$AB:$AB,Periodicos!S:S,1)</f>
        <v>0</v>
      </c>
      <c r="K10" s="41" t="n">
        <f aca="false">SUMIFS(Periodicos!$AB:$AB,Periodicos!T:T,1)</f>
        <v>0</v>
      </c>
      <c r="L10" s="41" t="n">
        <f aca="false">SUMIFS(Periodicos!$AB:$AB,Periodicos!U:U,1)</f>
        <v>0.875</v>
      </c>
      <c r="M10" s="41" t="n">
        <f aca="false">SUMIFS(Periodicos!$AB:$AB,Periodicos!V:V,1)</f>
        <v>0</v>
      </c>
      <c r="N10" s="41" t="n">
        <f aca="false">SUMIFS(Periodicos!$AB:$AB,Periodicos!W:W,1)</f>
        <v>2</v>
      </c>
      <c r="O10" s="41" t="n">
        <f aca="false">SUMIFS(Periodicos!$AB:$AB,Periodicos!X:X,1)</f>
        <v>0</v>
      </c>
      <c r="P10" s="41" t="n">
        <f aca="false">SUMIFS(Periodicos!$AB:$AB,Periodicos!Y:Y,1)</f>
        <v>1</v>
      </c>
      <c r="Q10" s="41" t="n">
        <f aca="false">SUMIFS(Periodicos!$AB:$AB,Periodicos!Z:Z,1)</f>
        <v>0</v>
      </c>
      <c r="R10" s="42" t="n">
        <f aca="false">SUM(Periodicos!$AB:$AB)/SUM(B$2:Q$2)</f>
        <v>0.240384615384615</v>
      </c>
      <c r="S10" s="42" t="n">
        <f aca="false">R10*4</f>
        <v>0.961538461538462</v>
      </c>
      <c r="U10" s="42" t="n">
        <v>4.44</v>
      </c>
      <c r="V10" s="43" t="n">
        <f aca="false">S10/U10</f>
        <v>0.216562716562717</v>
      </c>
    </row>
    <row r="11" customFormat="false" ht="15.75" hidden="false" customHeight="true" outlineLevel="0" collapsed="false">
      <c r="A11" s="44" t="s">
        <v>59</v>
      </c>
      <c r="B11" s="45" t="n">
        <f aca="false">SUMIFS(Periodicos!$AB:$AB,Periodicos!K:K,1,Periodicos!$H:$H,1)</f>
        <v>0</v>
      </c>
      <c r="C11" s="45" t="n">
        <f aca="false">SUMIFS(Periodicos!$AB:$AB,Periodicos!L:L,1,Periodicos!$H:$H,1)</f>
        <v>0</v>
      </c>
      <c r="D11" s="45" t="n">
        <f aca="false">SUMIFS(Periodicos!$AB:$AB,Periodicos!M:M,1,Periodicos!$H:$H,1)</f>
        <v>0</v>
      </c>
      <c r="E11" s="45" t="n">
        <f aca="false">SUMIFS(Periodicos!$AB:$AB,Periodicos!N:N,1,Periodicos!$H:$H,1)</f>
        <v>0</v>
      </c>
      <c r="F11" s="45" t="n">
        <f aca="false">SUMIFS(Periodicos!$AB:$AB,Periodicos!O:O,1,Periodicos!$H:$H,1)</f>
        <v>0</v>
      </c>
      <c r="G11" s="45" t="n">
        <f aca="false">SUMIFS(Periodicos!$AB:$AB,Periodicos!P:P,1,Periodicos!$H:$H,1)</f>
        <v>0</v>
      </c>
      <c r="H11" s="45" t="n">
        <f aca="false">SUMIFS(Periodicos!$AB:$AB,Periodicos!Q:Q,1,Periodicos!$H:$H,1)</f>
        <v>0</v>
      </c>
      <c r="I11" s="45" t="n">
        <f aca="false">SUMIFS(Periodicos!$AB:$AB,Periodicos!R:R,1,Periodicos!$H:$H,1)</f>
        <v>0</v>
      </c>
      <c r="J11" s="45" t="n">
        <f aca="false">SUMIFS(Periodicos!$AB:$AB,Periodicos!S:S,1,Periodicos!$H:$H,1)</f>
        <v>0</v>
      </c>
      <c r="K11" s="45" t="n">
        <f aca="false">SUMIFS(Periodicos!$AB:$AB,Periodicos!T:T,1,Periodicos!$H:$H,1)</f>
        <v>0</v>
      </c>
      <c r="L11" s="45" t="n">
        <f aca="false">SUMIFS(Periodicos!$AB:$AB,Periodicos!U:U,1,Periodicos!$H:$H,1)</f>
        <v>0.875</v>
      </c>
      <c r="M11" s="45" t="n">
        <f aca="false">SUMIFS(Periodicos!$AB:$AB,Periodicos!V:V,1,Periodicos!$H:$H,1)</f>
        <v>0</v>
      </c>
      <c r="N11" s="45" t="n">
        <f aca="false">SUMIFS(Periodicos!$AB:$AB,Periodicos!W:W,1,Periodicos!$H:$H,1)</f>
        <v>2</v>
      </c>
      <c r="O11" s="45" t="n">
        <f aca="false">SUMIFS(Periodicos!$AB:$AB,Periodicos!X:X,1,Periodicos!$H:$H,1)</f>
        <v>0</v>
      </c>
      <c r="P11" s="45" t="n">
        <f aca="false">SUMIFS(Periodicos!$AB:$AB,Periodicos!Y:Y,1,Periodicos!$H:$H,1)</f>
        <v>1</v>
      </c>
      <c r="Q11" s="45" t="n">
        <f aca="false">SUMIFS(Periodicos!$AB:$AB,Periodicos!Z:Z,1,Periodicos!$H:$H,1)</f>
        <v>0</v>
      </c>
      <c r="R11" s="46" t="n">
        <f aca="false">SUMIFS(Periodicos!$AB:$AB,Periodicos!$H:$H,1)/SUM(B$2:Q$2)</f>
        <v>0.240384615384615</v>
      </c>
      <c r="S11" s="46" t="n">
        <f aca="false">R11*4</f>
        <v>0.961538461538462</v>
      </c>
      <c r="U11" s="46" t="n">
        <v>4.26</v>
      </c>
      <c r="V11" s="43" t="n">
        <f aca="false">S11/U11</f>
        <v>0.225713253882268</v>
      </c>
    </row>
    <row r="12" customFormat="false" ht="15.75" hidden="false" customHeight="true" outlineLevel="0" collapsed="false">
      <c r="A12" s="40" t="s">
        <v>63</v>
      </c>
      <c r="B12" s="41" t="n">
        <f aca="false">SUMIFS(Periodicos!$AB:$AB,Periodicos!K:K,1,Periodicos!$G:$G,1)</f>
        <v>0</v>
      </c>
      <c r="C12" s="41" t="n">
        <f aca="false">SUMIFS(Periodicos!$AB:$AB,Periodicos!L:L,1,Periodicos!$G:$G,1)</f>
        <v>0</v>
      </c>
      <c r="D12" s="41" t="n">
        <f aca="false">SUMIFS(Periodicos!$AB:$AB,Periodicos!M:M,1,Periodicos!$G:$G,1)</f>
        <v>0</v>
      </c>
      <c r="E12" s="41" t="n">
        <f aca="false">SUMIFS(Periodicos!$AB:$AB,Periodicos!N:N,1,Periodicos!$G:$G,1)</f>
        <v>0</v>
      </c>
      <c r="F12" s="41" t="n">
        <f aca="false">SUMIFS(Periodicos!$AB:$AB,Periodicos!O:O,1,Periodicos!$G:$G,1)</f>
        <v>0</v>
      </c>
      <c r="G12" s="41" t="n">
        <f aca="false">SUMIFS(Periodicos!$AB:$AB,Periodicos!P:P,1,Periodicos!$G:$G,1)</f>
        <v>0</v>
      </c>
      <c r="H12" s="41" t="n">
        <f aca="false">SUMIFS(Periodicos!$AB:$AB,Periodicos!Q:Q,1,Periodicos!$G:$G,1)</f>
        <v>0</v>
      </c>
      <c r="I12" s="41" t="n">
        <f aca="false">SUMIFS(Periodicos!$AB:$AB,Periodicos!R:R,1,Periodicos!$G:$G,1)</f>
        <v>0</v>
      </c>
      <c r="J12" s="41" t="n">
        <f aca="false">SUMIFS(Periodicos!$AB:$AB,Periodicos!S:S,1,Periodicos!$G:$G,1)</f>
        <v>0</v>
      </c>
      <c r="K12" s="41" t="n">
        <f aca="false">SUMIFS(Periodicos!$AB:$AB,Periodicos!T:T,1,Periodicos!$G:$G,1)</f>
        <v>0</v>
      </c>
      <c r="L12" s="41" t="n">
        <f aca="false">SUMIFS(Periodicos!$AB:$AB,Periodicos!U:U,1,Periodicos!$G:$G,1)</f>
        <v>0</v>
      </c>
      <c r="M12" s="41" t="n">
        <f aca="false">SUMIFS(Periodicos!$AB:$AB,Periodicos!V:V,1,Periodicos!$G:$G,1)</f>
        <v>0</v>
      </c>
      <c r="N12" s="41" t="n">
        <f aca="false">SUMIFS(Periodicos!$AB:$AB,Periodicos!W:W,1,Periodicos!$G:$G,1)</f>
        <v>0</v>
      </c>
      <c r="O12" s="41" t="n">
        <f aca="false">SUMIFS(Periodicos!$AB:$AB,Periodicos!X:X,1,Periodicos!$G:$G,1)</f>
        <v>0</v>
      </c>
      <c r="P12" s="41" t="n">
        <f aca="false">SUMIFS(Periodicos!$AB:$AB,Periodicos!Y:Y,1,Periodicos!$G:$G,1)</f>
        <v>0</v>
      </c>
      <c r="Q12" s="41" t="n">
        <f aca="false">SUMIFS(Periodicos!$AB:$AB,Periodicos!Z:Z,1,Periodicos!$G:$G,1)</f>
        <v>0</v>
      </c>
      <c r="R12" s="42" t="n">
        <f aca="false">SUMIFS(Periodicos!$AB:$AB,Periodicos!$G:$G,1)/SUM(B$2:Q$2)</f>
        <v>0</v>
      </c>
      <c r="S12" s="42" t="n">
        <f aca="false">R12*4</f>
        <v>0</v>
      </c>
      <c r="U12" s="42" t="n">
        <v>3.6</v>
      </c>
      <c r="V12" s="43" t="n">
        <f aca="false">S12/U12</f>
        <v>0</v>
      </c>
    </row>
    <row r="13" customFormat="false" ht="15.75" hidden="false" customHeight="true" outlineLevel="0" collapsed="false">
      <c r="A13" s="44" t="s">
        <v>64</v>
      </c>
      <c r="B13" s="45" t="n">
        <f aca="false">SUMIFS(Periodicos!$AB:$AB,Periodicos!K:K,1,Periodicos!$H:$H,1,Periodicos!$G:$G,1)</f>
        <v>0</v>
      </c>
      <c r="C13" s="45" t="n">
        <f aca="false">SUMIFS(Periodicos!$AB:$AB,Periodicos!L:L,1,Periodicos!$H:$H,1,Periodicos!$G:$G,1)</f>
        <v>0</v>
      </c>
      <c r="D13" s="45" t="n">
        <f aca="false">SUMIFS(Periodicos!$AB:$AB,Periodicos!M:M,1,Periodicos!$H:$H,1,Periodicos!$G:$G,1)</f>
        <v>0</v>
      </c>
      <c r="E13" s="45" t="n">
        <f aca="false">SUMIFS(Periodicos!$AB:$AB,Periodicos!N:N,1,Periodicos!$H:$H,1,Periodicos!$G:$G,1)</f>
        <v>0</v>
      </c>
      <c r="F13" s="45" t="n">
        <f aca="false">SUMIFS(Periodicos!$AB:$AB,Periodicos!O:O,1,Periodicos!$H:$H,1,Periodicos!$G:$G,1)</f>
        <v>0</v>
      </c>
      <c r="G13" s="45" t="n">
        <f aca="false">SUMIFS(Periodicos!$AB:$AB,Periodicos!P:P,1,Periodicos!$H:$H,1,Periodicos!$G:$G,1)</f>
        <v>0</v>
      </c>
      <c r="H13" s="45" t="n">
        <f aca="false">SUMIFS(Periodicos!$AB:$AB,Periodicos!Q:Q,1,Periodicos!$H:$H,1,Periodicos!$G:$G,1)</f>
        <v>0</v>
      </c>
      <c r="I13" s="45" t="n">
        <f aca="false">SUMIFS(Periodicos!$AB:$AB,Periodicos!R:R,1,Periodicos!$H:$H,1,Periodicos!$G:$G,1)</f>
        <v>0</v>
      </c>
      <c r="J13" s="45" t="n">
        <f aca="false">SUMIFS(Periodicos!$AB:$AB,Periodicos!S:S,1,Periodicos!$H:$H,1,Periodicos!$G:$G,1)</f>
        <v>0</v>
      </c>
      <c r="K13" s="45" t="n">
        <f aca="false">SUMIFS(Periodicos!$AB:$AB,Periodicos!T:T,1,Periodicos!$H:$H,1,Periodicos!$G:$G,1)</f>
        <v>0</v>
      </c>
      <c r="L13" s="45" t="n">
        <f aca="false">SUMIFS(Periodicos!$AB:$AB,Periodicos!U:U,1,Periodicos!$H:$H,1,Periodicos!$G:$G,1)</f>
        <v>0</v>
      </c>
      <c r="M13" s="45" t="n">
        <f aca="false">SUMIFS(Periodicos!$AB:$AB,Periodicos!V:V,1,Periodicos!$H:$H,1,Periodicos!$G:$G,1)</f>
        <v>0</v>
      </c>
      <c r="N13" s="45" t="n">
        <f aca="false">SUMIFS(Periodicos!$AB:$AB,Periodicos!W:W,1,Periodicos!$H:$H,1,Periodicos!$G:$G,1)</f>
        <v>0</v>
      </c>
      <c r="O13" s="45" t="n">
        <f aca="false">SUMIFS(Periodicos!$AB:$AB,Periodicos!X:X,1,Periodicos!$H:$H,1,Periodicos!$G:$G,1)</f>
        <v>0</v>
      </c>
      <c r="P13" s="45" t="n">
        <f aca="false">SUMIFS(Periodicos!$AB:$AB,Periodicos!Y:Y,1,Periodicos!$H:$H,1,Periodicos!$G:$G,1)</f>
        <v>0</v>
      </c>
      <c r="Q13" s="45" t="n">
        <f aca="false">SUMIFS(Periodicos!$AB:$AB,Periodicos!Z:Z,1,Periodicos!$H:$H,1,Periodicos!$G:$G,1)</f>
        <v>0</v>
      </c>
      <c r="R13" s="46" t="n">
        <f aca="false">SUMIFS(Periodicos!$AB:$AB,Periodicos!$H:$H,1,Periodicos!$G:$G,1)/SUM(B$2:Q$2)</f>
        <v>0</v>
      </c>
      <c r="S13" s="46" t="n">
        <f aca="false">R13*4</f>
        <v>0</v>
      </c>
      <c r="U13" s="46" t="n">
        <v>3.52</v>
      </c>
      <c r="V13" s="43" t="n">
        <f aca="false">S13/U13</f>
        <v>0</v>
      </c>
    </row>
    <row r="14" customFormat="false" ht="15.75" hidden="false" customHeight="true" outlineLevel="0" collapsed="false">
      <c r="A14" s="40" t="s">
        <v>60</v>
      </c>
      <c r="B14" s="41" t="n">
        <f aca="false">SUMIFS(Periodicos!$AB:$AB,Periodicos!K:K,1,Periodicos!$I:$I,1)</f>
        <v>0</v>
      </c>
      <c r="C14" s="41" t="n">
        <f aca="false">SUMIFS(Periodicos!$AB:$AB,Periodicos!L:L,1,Periodicos!$I:$I,1)</f>
        <v>0</v>
      </c>
      <c r="D14" s="41" t="n">
        <f aca="false">SUMIFS(Periodicos!$AB:$AB,Periodicos!M:M,1,Periodicos!$I:$I,1)</f>
        <v>0</v>
      </c>
      <c r="E14" s="41" t="n">
        <f aca="false">SUMIFS(Periodicos!$AB:$AB,Periodicos!N:N,1,Periodicos!$I:$I,1)</f>
        <v>0</v>
      </c>
      <c r="F14" s="41" t="n">
        <f aca="false">SUMIFS(Periodicos!$AB:$AB,Periodicos!O:O,1,Periodicos!$I:$I,1)</f>
        <v>0</v>
      </c>
      <c r="G14" s="41" t="n">
        <f aca="false">SUMIFS(Periodicos!$AB:$AB,Periodicos!P:P,1,Periodicos!$I:$I,1)</f>
        <v>0</v>
      </c>
      <c r="H14" s="41" t="n">
        <f aca="false">SUMIFS(Periodicos!$AB:$AB,Periodicos!Q:Q,1,Periodicos!$I:$I,1)</f>
        <v>0</v>
      </c>
      <c r="I14" s="41" t="n">
        <f aca="false">SUMIFS(Periodicos!$AB:$AB,Periodicos!R:R,1,Periodicos!$I:$I,1)</f>
        <v>0</v>
      </c>
      <c r="J14" s="41" t="n">
        <f aca="false">SUMIFS(Periodicos!$AB:$AB,Periodicos!S:S,1,Periodicos!$I:$I,1)</f>
        <v>0</v>
      </c>
      <c r="K14" s="41" t="n">
        <f aca="false">SUMIFS(Periodicos!$AB:$AB,Periodicos!T:T,1,Periodicos!$I:$I,1)</f>
        <v>0</v>
      </c>
      <c r="L14" s="41" t="n">
        <f aca="false">SUMIFS(Periodicos!$AB:$AB,Periodicos!U:U,1,Periodicos!$I:$I,1)</f>
        <v>0</v>
      </c>
      <c r="M14" s="41" t="n">
        <f aca="false">SUMIFS(Periodicos!$AB:$AB,Periodicos!V:V,1,Periodicos!$I:$I,1)</f>
        <v>0</v>
      </c>
      <c r="N14" s="41" t="n">
        <f aca="false">SUMIFS(Periodicos!$AB:$AB,Periodicos!W:W,1,Periodicos!$I:$I,1)</f>
        <v>0</v>
      </c>
      <c r="O14" s="41" t="n">
        <f aca="false">SUMIFS(Periodicos!$AB:$AB,Periodicos!X:X,1,Periodicos!$I:$I,1)</f>
        <v>0</v>
      </c>
      <c r="P14" s="41" t="n">
        <f aca="false">SUMIFS(Periodicos!$AB:$AB,Periodicos!Y:Y,1,Periodicos!$I:$I,1)</f>
        <v>0</v>
      </c>
      <c r="Q14" s="41" t="n">
        <f aca="false">SUMIFS(Periodicos!$AB:$AB,Periodicos!Z:Z,1,Periodicos!$I:$I,1)</f>
        <v>0</v>
      </c>
      <c r="R14" s="42" t="n">
        <f aca="false">SUMIFS(Periodicos!$AB:$AB,Periodicos!$I:$I,1)/SUM(B$2:Q$2)</f>
        <v>0</v>
      </c>
      <c r="S14" s="42" t="n">
        <f aca="false">R14*4</f>
        <v>0</v>
      </c>
      <c r="U14" s="42" t="n">
        <v>0.94</v>
      </c>
      <c r="V14" s="43" t="n">
        <f aca="false">S14/U14</f>
        <v>0</v>
      </c>
    </row>
    <row r="15" customFormat="false" ht="15.75" hidden="false" customHeight="true" outlineLevel="0" collapsed="false">
      <c r="A15" s="47" t="s">
        <v>61</v>
      </c>
      <c r="B15" s="48" t="n">
        <f aca="false">SUMIFS(Periodicos!$AB:$AB,Periodicos!K:K,1,Periodicos!$I:$I,1,Periodicos!$H:$H,1)</f>
        <v>0</v>
      </c>
      <c r="C15" s="48" t="n">
        <f aca="false">SUMIFS(Periodicos!$AB:$AB,Periodicos!L:L,1,Periodicos!$I:$I,1,Periodicos!$H:$H,1)</f>
        <v>0</v>
      </c>
      <c r="D15" s="48" t="n">
        <f aca="false">SUMIFS(Periodicos!$AB:$AB,Periodicos!M:M,1,Periodicos!$I:$I,1,Periodicos!$H:$H,1)</f>
        <v>0</v>
      </c>
      <c r="E15" s="48" t="n">
        <f aca="false">SUMIFS(Periodicos!$AB:$AB,Periodicos!N:N,1,Periodicos!$I:$I,1,Periodicos!$H:$H,1)</f>
        <v>0</v>
      </c>
      <c r="F15" s="48" t="n">
        <f aca="false">SUMIFS(Periodicos!$AB:$AB,Periodicos!O:O,1,Periodicos!$I:$I,1,Periodicos!$H:$H,1)</f>
        <v>0</v>
      </c>
      <c r="G15" s="48" t="n">
        <f aca="false">SUMIFS(Periodicos!$AB:$AB,Periodicos!P:P,1,Periodicos!$I:$I,1,Periodicos!$H:$H,1)</f>
        <v>0</v>
      </c>
      <c r="H15" s="48" t="n">
        <f aca="false">SUMIFS(Periodicos!$AB:$AB,Periodicos!Q:Q,1,Periodicos!$I:$I,1,Periodicos!$H:$H,1)</f>
        <v>0</v>
      </c>
      <c r="I15" s="48" t="n">
        <f aca="false">SUMIFS(Periodicos!$AB:$AB,Periodicos!R:R,1,Periodicos!$I:$I,1,Periodicos!$H:$H,1)</f>
        <v>0</v>
      </c>
      <c r="J15" s="48" t="n">
        <f aca="false">SUMIFS(Periodicos!$AB:$AB,Periodicos!S:S,1,Periodicos!$I:$I,1,Periodicos!$H:$H,1)</f>
        <v>0</v>
      </c>
      <c r="K15" s="48" t="n">
        <f aca="false">SUMIFS(Periodicos!$AB:$AB,Periodicos!T:T,1,Periodicos!$I:$I,1,Periodicos!$H:$H,1)</f>
        <v>0</v>
      </c>
      <c r="L15" s="48" t="n">
        <f aca="false">SUMIFS(Periodicos!$AB:$AB,Periodicos!U:U,1,Periodicos!$I:$I,1,Periodicos!$H:$H,1)</f>
        <v>0</v>
      </c>
      <c r="M15" s="48" t="n">
        <f aca="false">SUMIFS(Periodicos!$AB:$AB,Periodicos!V:V,1,Periodicos!$I:$I,1,Periodicos!$H:$H,1)</f>
        <v>0</v>
      </c>
      <c r="N15" s="48" t="n">
        <f aca="false">SUMIFS(Periodicos!$AB:$AB,Periodicos!W:W,1,Periodicos!$I:$I,1,Periodicos!$H:$H,1)</f>
        <v>0</v>
      </c>
      <c r="O15" s="48" t="n">
        <f aca="false">SUMIFS(Periodicos!$AB:$AB,Periodicos!X:X,1,Periodicos!$I:$I,1,Periodicos!$H:$H,1)</f>
        <v>0</v>
      </c>
      <c r="P15" s="48" t="n">
        <f aca="false">SUMIFS(Periodicos!$AB:$AB,Periodicos!Y:Y,1,Periodicos!$I:$I,1,Periodicos!$H:$H,1)</f>
        <v>0</v>
      </c>
      <c r="Q15" s="48" t="n">
        <f aca="false">SUMIFS(Periodicos!$AB:$AB,Periodicos!Z:Z,1,Periodicos!$I:$I,1,Periodicos!$H:$H,1)</f>
        <v>0</v>
      </c>
      <c r="R15" s="49" t="n">
        <f aca="false">SUMIFS(Periodicos!$AB:$AB,Periodicos!$I:$I,1,Periodicos!$H:$H,1)/SUM(B$2:Q$2)</f>
        <v>0</v>
      </c>
      <c r="S15" s="49" t="n">
        <f aca="false">R15*4</f>
        <v>0</v>
      </c>
      <c r="U15" s="49" t="n">
        <v>0.86</v>
      </c>
      <c r="V15" s="43" t="n">
        <f aca="false">S15/U15</f>
        <v>0</v>
      </c>
    </row>
    <row r="16" customFormat="false" ht="15.75" hidden="false" customHeight="true" outlineLevel="0" collapsed="false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50"/>
      <c r="S16" s="50"/>
    </row>
    <row r="17" customFormat="false" ht="15.75" hidden="false" customHeight="true" outlineLevel="0" collapsed="false">
      <c r="A17" s="51" t="s">
        <v>65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50"/>
      <c r="S17" s="50"/>
    </row>
    <row r="18" customFormat="false" ht="16.5" hidden="false" customHeight="true" outlineLevel="0" collapsed="false">
      <c r="A18" s="40" t="s">
        <v>58</v>
      </c>
      <c r="B18" s="41" t="e">
        <f aca="false">SUM(B4,B10)</f>
        <v>#REF!</v>
      </c>
      <c r="C18" s="41" t="e">
        <f aca="false">SUM(C4,C10)</f>
        <v>#VALUE!</v>
      </c>
      <c r="D18" s="41" t="e">
        <f aca="false">SUM(D4,D10)</f>
        <v>#VALUE!</v>
      </c>
      <c r="E18" s="41" t="e">
        <f aca="false">SUM(E4,E10)</f>
        <v>#VALUE!</v>
      </c>
      <c r="F18" s="41" t="e">
        <f aca="false">SUM(F4,F10)</f>
        <v>#VALUE!</v>
      </c>
      <c r="G18" s="41" t="e">
        <f aca="false">SUM(G4,G10)</f>
        <v>#VALUE!</v>
      </c>
      <c r="H18" s="41" t="e">
        <f aca="false">SUM(H4,H10)</f>
        <v>#VALUE!</v>
      </c>
      <c r="I18" s="41" t="e">
        <f aca="false">SUM(I4,I10)</f>
        <v>#VALUE!</v>
      </c>
      <c r="J18" s="41" t="e">
        <f aca="false">SUM(J4,J10)</f>
        <v>#VALUE!</v>
      </c>
      <c r="K18" s="41" t="e">
        <f aca="false">SUM(K4,K10)</f>
        <v>#VALUE!</v>
      </c>
      <c r="L18" s="41" t="e">
        <f aca="false">SUM(L4,L10)</f>
        <v>#VALUE!</v>
      </c>
      <c r="M18" s="41" t="e">
        <f aca="false">SUM(M4,M10)</f>
        <v>#VALUE!</v>
      </c>
      <c r="N18" s="41" t="e">
        <f aca="false">SUM(N4,N10)</f>
        <v>#VALUE!</v>
      </c>
      <c r="O18" s="41" t="e">
        <f aca="false">SUM(O4,O10)</f>
        <v>#VALUE!</v>
      </c>
      <c r="P18" s="41" t="e">
        <f aca="false">SUM(P4,P10)</f>
        <v>#VALUE!</v>
      </c>
      <c r="Q18" s="41" t="e">
        <f aca="false">SUM(Q4,Q10)</f>
        <v>#VALUE!</v>
      </c>
      <c r="R18" s="52" t="e">
        <f aca="false">SUM(R4,R10)</f>
        <v>#REF!</v>
      </c>
      <c r="S18" s="52" t="e">
        <f aca="false">R18*4</f>
        <v>#REF!</v>
      </c>
      <c r="U18" s="42" t="n">
        <v>8.3</v>
      </c>
      <c r="V18" s="43" t="e">
        <f aca="false">S18/U18</f>
        <v>#REF!</v>
      </c>
    </row>
    <row r="19" customFormat="false" ht="15.75" hidden="false" customHeight="true" outlineLevel="0" collapsed="false">
      <c r="A19" s="44" t="s">
        <v>59</v>
      </c>
      <c r="B19" s="45" t="e">
        <f aca="false">SUM(B5,B11)</f>
        <v>#REF!</v>
      </c>
      <c r="C19" s="45" t="e">
        <f aca="false">SUM(C5,C11)</f>
        <v>#VALUE!</v>
      </c>
      <c r="D19" s="45" t="e">
        <f aca="false">SUM(D5,D11)</f>
        <v>#VALUE!</v>
      </c>
      <c r="E19" s="45" t="e">
        <f aca="false">SUM(E5,E11)</f>
        <v>#VALUE!</v>
      </c>
      <c r="F19" s="45" t="e">
        <f aca="false">SUM(F5,F11)</f>
        <v>#VALUE!</v>
      </c>
      <c r="G19" s="45" t="e">
        <f aca="false">SUM(G5,G11)</f>
        <v>#VALUE!</v>
      </c>
      <c r="H19" s="45" t="e">
        <f aca="false">SUM(H5,H11)</f>
        <v>#VALUE!</v>
      </c>
      <c r="I19" s="45" t="e">
        <f aca="false">SUM(I5,I11)</f>
        <v>#VALUE!</v>
      </c>
      <c r="J19" s="45" t="e">
        <f aca="false">SUM(J5,J11)</f>
        <v>#VALUE!</v>
      </c>
      <c r="K19" s="45" t="e">
        <f aca="false">SUM(K5,K11)</f>
        <v>#VALUE!</v>
      </c>
      <c r="L19" s="45" t="e">
        <f aca="false">SUM(L5,L11)</f>
        <v>#VALUE!</v>
      </c>
      <c r="M19" s="45" t="e">
        <f aca="false">SUM(M5,M11)</f>
        <v>#VALUE!</v>
      </c>
      <c r="N19" s="45" t="e">
        <f aca="false">SUM(N5,N11)</f>
        <v>#VALUE!</v>
      </c>
      <c r="O19" s="45" t="e">
        <f aca="false">SUM(O5,O11)</f>
        <v>#VALUE!</v>
      </c>
      <c r="P19" s="45" t="e">
        <f aca="false">SUM(P5,P11)</f>
        <v>#VALUE!</v>
      </c>
      <c r="Q19" s="45" t="e">
        <f aca="false">SUM(Q5,Q11)</f>
        <v>#VALUE!</v>
      </c>
      <c r="R19" s="53" t="e">
        <f aca="false">SUM(R5,R11)</f>
        <v>#REF!</v>
      </c>
      <c r="S19" s="53" t="e">
        <f aca="false">R19*4</f>
        <v>#REF!</v>
      </c>
      <c r="U19" s="46" t="n">
        <v>7.02</v>
      </c>
      <c r="V19" s="43" t="e">
        <f aca="false">S19/U19</f>
        <v>#REF!</v>
      </c>
    </row>
    <row r="20" customFormat="false" ht="15.75" hidden="false" customHeight="true" outlineLevel="0" collapsed="false">
      <c r="A20" s="40" t="s">
        <v>66</v>
      </c>
      <c r="B20" s="41" t="e">
        <f aca="false">SUM(B6,B14)</f>
        <v>#REF!</v>
      </c>
      <c r="C20" s="41" t="e">
        <f aca="false">SUM(C6,C14)</f>
        <v>#VALUE!</v>
      </c>
      <c r="D20" s="41" t="e">
        <f aca="false">SUM(D6,D14)</f>
        <v>#VALUE!</v>
      </c>
      <c r="E20" s="41" t="e">
        <f aca="false">SUM(E6,E14)</f>
        <v>#VALUE!</v>
      </c>
      <c r="F20" s="41" t="e">
        <f aca="false">SUM(F6,F14)</f>
        <v>#VALUE!</v>
      </c>
      <c r="G20" s="41" t="e">
        <f aca="false">SUM(G6,G14)</f>
        <v>#VALUE!</v>
      </c>
      <c r="H20" s="41" t="e">
        <f aca="false">SUM(H6,H14)</f>
        <v>#VALUE!</v>
      </c>
      <c r="I20" s="41" t="e">
        <f aca="false">SUM(I6,I14)</f>
        <v>#VALUE!</v>
      </c>
      <c r="J20" s="41" t="e">
        <f aca="false">SUM(J6,J14)</f>
        <v>#VALUE!</v>
      </c>
      <c r="K20" s="41" t="e">
        <f aca="false">SUM(K6,K14)</f>
        <v>#VALUE!</v>
      </c>
      <c r="L20" s="41" t="e">
        <f aca="false">SUM(L6,L14)</f>
        <v>#VALUE!</v>
      </c>
      <c r="M20" s="41" t="e">
        <f aca="false">SUM(M6,M14)</f>
        <v>#VALUE!</v>
      </c>
      <c r="N20" s="41" t="e">
        <f aca="false">SUM(N6,N14)</f>
        <v>#VALUE!</v>
      </c>
      <c r="O20" s="41" t="e">
        <f aca="false">SUM(O6,O14)</f>
        <v>#VALUE!</v>
      </c>
      <c r="P20" s="41" t="e">
        <f aca="false">SUM(P6,P14)</f>
        <v>#VALUE!</v>
      </c>
      <c r="Q20" s="41" t="e">
        <f aca="false">SUM(Q6,Q14)</f>
        <v>#VALUE!</v>
      </c>
      <c r="R20" s="52" t="e">
        <f aca="false">SUM(R6,R14)</f>
        <v>#REF!</v>
      </c>
      <c r="S20" s="52" t="e">
        <f aca="false">R20*4</f>
        <v>#REF!</v>
      </c>
      <c r="U20" s="42" t="n">
        <v>3.02</v>
      </c>
      <c r="V20" s="43" t="e">
        <f aca="false">S20/U20</f>
        <v>#REF!</v>
      </c>
    </row>
    <row r="21" customFormat="false" ht="15.75" hidden="false" customHeight="true" outlineLevel="0" collapsed="false">
      <c r="A21" s="47" t="s">
        <v>67</v>
      </c>
      <c r="B21" s="48" t="e">
        <f aca="false">SUM(B7,B15)</f>
        <v>#REF!</v>
      </c>
      <c r="C21" s="48" t="e">
        <f aca="false">SUM(C7,C15)</f>
        <v>#VALUE!</v>
      </c>
      <c r="D21" s="48" t="e">
        <f aca="false">SUM(D7,D15)</f>
        <v>#VALUE!</v>
      </c>
      <c r="E21" s="48" t="e">
        <f aca="false">SUM(E7,E15)</f>
        <v>#VALUE!</v>
      </c>
      <c r="F21" s="48" t="e">
        <f aca="false">SUM(F7,F15)</f>
        <v>#VALUE!</v>
      </c>
      <c r="G21" s="48" t="e">
        <f aca="false">SUM(G7,G15)</f>
        <v>#VALUE!</v>
      </c>
      <c r="H21" s="48" t="e">
        <f aca="false">SUM(H7,H15)</f>
        <v>#VALUE!</v>
      </c>
      <c r="I21" s="48" t="e">
        <f aca="false">SUM(I7,I15)</f>
        <v>#VALUE!</v>
      </c>
      <c r="J21" s="48" t="e">
        <f aca="false">SUM(J7,J15)</f>
        <v>#VALUE!</v>
      </c>
      <c r="K21" s="48" t="e">
        <f aca="false">SUM(K7,K15)</f>
        <v>#VALUE!</v>
      </c>
      <c r="L21" s="48" t="e">
        <f aca="false">SUM(L7,L15)</f>
        <v>#VALUE!</v>
      </c>
      <c r="M21" s="48" t="e">
        <f aca="false">SUM(M7,M15)</f>
        <v>#VALUE!</v>
      </c>
      <c r="N21" s="48" t="e">
        <f aca="false">SUM(N7,N15)</f>
        <v>#VALUE!</v>
      </c>
      <c r="O21" s="48" t="e">
        <f aca="false">SUM(O7,O15)</f>
        <v>#VALUE!</v>
      </c>
      <c r="P21" s="48" t="e">
        <f aca="false">SUM(P7,P15)</f>
        <v>#VALUE!</v>
      </c>
      <c r="Q21" s="48" t="e">
        <f aca="false">SUM(Q7,Q15)</f>
        <v>#VALUE!</v>
      </c>
      <c r="R21" s="54" t="e">
        <f aca="false">SUM(R7,R15)</f>
        <v>#REF!</v>
      </c>
      <c r="S21" s="54" t="e">
        <f aca="false">R21*4</f>
        <v>#REF!</v>
      </c>
      <c r="U21" s="49" t="n">
        <v>2.34</v>
      </c>
      <c r="V21" s="43" t="e">
        <f aca="false">S21/U21</f>
        <v>#REF!</v>
      </c>
    </row>
    <row r="22" customFormat="false" ht="15.75" hidden="false" customHeight="true" outlineLevel="0" collapsed="false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50"/>
      <c r="S22" s="50"/>
    </row>
    <row r="23" customFormat="false" ht="15.75" hidden="false" customHeight="true" outlineLevel="0" collapsed="false">
      <c r="A23" s="55" t="s">
        <v>68</v>
      </c>
      <c r="R23" s="50"/>
      <c r="S23" s="50"/>
    </row>
    <row r="24" customFormat="false" ht="15.75" hidden="false" customHeight="true" outlineLevel="0" collapsed="false">
      <c r="A24" s="56" t="s">
        <v>69</v>
      </c>
      <c r="B24" s="57"/>
      <c r="C24" s="57"/>
      <c r="D24" s="57"/>
      <c r="E24" s="57"/>
      <c r="F24" s="57"/>
      <c r="G24" s="57"/>
      <c r="H24" s="57"/>
      <c r="I24" s="57"/>
      <c r="J24" s="57"/>
      <c r="K24" s="57" t="n">
        <v>1</v>
      </c>
      <c r="L24" s="57"/>
      <c r="M24" s="57"/>
      <c r="N24" s="57"/>
      <c r="O24" s="57"/>
      <c r="P24" s="57"/>
      <c r="Q24" s="57"/>
      <c r="R24" s="50"/>
      <c r="S24" s="50"/>
    </row>
    <row r="25" customFormat="false" ht="15.75" hidden="false" customHeight="true" outlineLevel="0" collapsed="false">
      <c r="A25" s="58" t="s">
        <v>70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0"/>
      <c r="S25" s="50"/>
    </row>
    <row r="26" customFormat="false" ht="15.75" hidden="false" customHeight="true" outlineLevel="0" collapsed="false">
      <c r="A26" s="60" t="s">
        <v>71</v>
      </c>
      <c r="B26" s="61" t="n">
        <f aca="false">SUM(Tecnica!H:H)</f>
        <v>0</v>
      </c>
      <c r="C26" s="61" t="n">
        <f aca="false">SUM(Tecnica!I:I)</f>
        <v>2</v>
      </c>
      <c r="D26" s="61" t="n">
        <f aca="false">SUM(Tecnica!J:J)</f>
        <v>0</v>
      </c>
      <c r="E26" s="61" t="n">
        <f aca="false">SUM(Tecnica!K:K)</f>
        <v>0</v>
      </c>
      <c r="F26" s="61" t="n">
        <f aca="false">SUM(Tecnica!L:L)</f>
        <v>1</v>
      </c>
      <c r="G26" s="61" t="n">
        <f aca="false">SUM(Tecnica!M:M)</f>
        <v>3</v>
      </c>
      <c r="H26" s="61" t="n">
        <f aca="false">SUM(Tecnica!N:N)</f>
        <v>0</v>
      </c>
      <c r="I26" s="61" t="n">
        <f aca="false">SUM(Tecnica!O:O)</f>
        <v>0</v>
      </c>
      <c r="J26" s="61" t="n">
        <f aca="false">SUM(Tecnica!P:P)</f>
        <v>0</v>
      </c>
      <c r="K26" s="61" t="n">
        <f aca="false">SUM(Tecnica!Q:Q)</f>
        <v>0</v>
      </c>
      <c r="L26" s="61" t="n">
        <f aca="false">SUM(Tecnica!R:R)</f>
        <v>2</v>
      </c>
      <c r="M26" s="61" t="n">
        <f aca="false">SUM(Tecnica!S:S)</f>
        <v>0</v>
      </c>
      <c r="N26" s="61" t="n">
        <f aca="false">SUM(Tecnica!T:T)</f>
        <v>0</v>
      </c>
      <c r="O26" s="61" t="n">
        <f aca="false">SUM(Tecnica!U:U)</f>
        <v>0</v>
      </c>
      <c r="P26" s="61" t="n">
        <f aca="false">SUM(Tecnica!V:V)</f>
        <v>0</v>
      </c>
      <c r="Q26" s="61" t="n">
        <f aca="false">SUM(Tecnica!W:W)</f>
        <v>4</v>
      </c>
      <c r="R26" s="50"/>
      <c r="S26" s="50"/>
    </row>
    <row r="27" customFormat="false" ht="15.75" hidden="false" customHeight="true" outlineLevel="0" collapsed="false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50"/>
      <c r="S27" s="50"/>
    </row>
    <row r="28" customFormat="false" ht="15.75" hidden="false" customHeight="true" outlineLevel="0" collapsed="false">
      <c r="A28" s="55" t="s">
        <v>72</v>
      </c>
    </row>
    <row r="29" customFormat="false" ht="15.75" hidden="false" customHeight="true" outlineLevel="0" collapsed="false">
      <c r="A29" s="62" t="s">
        <v>73</v>
      </c>
      <c r="B29" s="63" t="e">
        <f aca="false">SUMIFS(#REF!,Conferencias!K:K,1)</f>
        <v>#REF!</v>
      </c>
      <c r="C29" s="63" t="e">
        <f aca="false">SUMIFS(#REF!,#REF!,1)</f>
        <v>#VALUE!</v>
      </c>
      <c r="D29" s="63" t="e">
        <f aca="false">SUMIFS(#REF!,#REF!,1)</f>
        <v>#VALUE!</v>
      </c>
      <c r="E29" s="63" t="e">
        <f aca="false">SUMIFS(#REF!,#REF!,1)</f>
        <v>#VALUE!</v>
      </c>
      <c r="F29" s="63" t="e">
        <f aca="false">SUMIFS(#REF!,#REF!,1)</f>
        <v>#VALUE!</v>
      </c>
      <c r="G29" s="63" t="e">
        <f aca="false">SUMIFS(#REF!,#REF!,1)</f>
        <v>#VALUE!</v>
      </c>
      <c r="H29" s="63" t="e">
        <f aca="false">SUMIFS(#REF!,#REF!,1)</f>
        <v>#VALUE!</v>
      </c>
      <c r="I29" s="63" t="e">
        <f aca="false">SUMIFS(#REF!,#REF!,1)</f>
        <v>#VALUE!</v>
      </c>
      <c r="J29" s="63" t="e">
        <f aca="false">SUMIFS(#REF!,#REF!,1)</f>
        <v>#VALUE!</v>
      </c>
      <c r="K29" s="63" t="e">
        <f aca="false">SUMIFS(#REF!,#REF!,1)</f>
        <v>#VALUE!</v>
      </c>
      <c r="L29" s="63" t="e">
        <f aca="false">SUMIFS(#REF!,#REF!,1)</f>
        <v>#VALUE!</v>
      </c>
      <c r="M29" s="63" t="e">
        <f aca="false">SUMIFS(#REF!,#REF!,1)</f>
        <v>#VALUE!</v>
      </c>
      <c r="N29" s="63" t="e">
        <f aca="false">SUMIFS(#REF!,#REF!,1)</f>
        <v>#VALUE!</v>
      </c>
      <c r="O29" s="63" t="e">
        <f aca="false">SUMIFS(#REF!,#REF!,1)</f>
        <v>#VALUE!</v>
      </c>
      <c r="P29" s="63" t="e">
        <f aca="false">SUMIFS(#REF!,#REF!,1)</f>
        <v>#VALUE!</v>
      </c>
      <c r="Q29" s="63" t="e">
        <f aca="false">SUMIFS(#REF!,#REF!,1)</f>
        <v>#VALUE!</v>
      </c>
    </row>
    <row r="30" customFormat="false" ht="15.75" hidden="false" customHeight="true" outlineLevel="0" collapsed="false">
      <c r="A30" s="44" t="s">
        <v>24</v>
      </c>
      <c r="B30" s="50" t="n">
        <f aca="false">SUMIFS(Periodicos!$AE:$AE,Periodicos!K:K,1)</f>
        <v>0</v>
      </c>
      <c r="C30" s="50" t="n">
        <f aca="false">SUMIFS(Periodicos!$AE:$AE,Periodicos!L:L,1)</f>
        <v>0</v>
      </c>
      <c r="D30" s="50" t="n">
        <f aca="false">SUMIFS(Periodicos!$AE:$AE,Periodicos!M:M,1)</f>
        <v>0</v>
      </c>
      <c r="E30" s="50" t="n">
        <f aca="false">SUMIFS(Periodicos!$AE:$AE,Periodicos!N:N,1)</f>
        <v>0</v>
      </c>
      <c r="F30" s="50" t="n">
        <f aca="false">SUMIFS(Periodicos!$AE:$AE,Periodicos!O:O,1)</f>
        <v>0</v>
      </c>
      <c r="G30" s="50" t="n">
        <f aca="false">SUMIFS(Periodicos!$AE:$AE,Periodicos!P:P,1)</f>
        <v>0</v>
      </c>
      <c r="H30" s="50" t="n">
        <f aca="false">SUMIFS(Periodicos!$AE:$AE,Periodicos!Q:Q,1)</f>
        <v>0</v>
      </c>
      <c r="I30" s="50" t="n">
        <f aca="false">SUMIFS(Periodicos!$AE:$AE,Periodicos!S:S,1)</f>
        <v>0</v>
      </c>
      <c r="J30" s="50" t="n">
        <f aca="false">SUMIFS(Periodicos!$AE:$AE,Periodicos!S:S,1)</f>
        <v>0</v>
      </c>
      <c r="K30" s="50" t="n">
        <f aca="false">SUMIFS(Periodicos!$AE:$AE,Periodicos!T:T,1)</f>
        <v>0</v>
      </c>
      <c r="L30" s="50" t="n">
        <f aca="false">SUMIFS(Periodicos!$AE:$AE,Periodicos!U:U,1)</f>
        <v>0.875</v>
      </c>
      <c r="M30" s="50" t="n">
        <f aca="false">SUMIFS(Periodicos!$AE:$AE,Periodicos!V:V,1)</f>
        <v>0</v>
      </c>
      <c r="N30" s="50" t="n">
        <f aca="false">SUMIFS(Periodicos!$AE:$AE,Periodicos!W:W,1)</f>
        <v>2</v>
      </c>
      <c r="O30" s="50" t="n">
        <f aca="false">SUMIFS(Periodicos!$AE:$AE,Periodicos!X:X,1)</f>
        <v>0</v>
      </c>
      <c r="P30" s="50" t="n">
        <f aca="false">SUMIFS(Periodicos!$AE:$AE,Periodicos!Y:Y,1)</f>
        <v>1</v>
      </c>
      <c r="Q30" s="50" t="n">
        <f aca="false">SUMIFS(Periodicos!$AE:$AE,Periodicos!Z:Z,1)</f>
        <v>0</v>
      </c>
      <c r="S30" s="31" t="s">
        <v>74</v>
      </c>
    </row>
    <row r="31" customFormat="false" ht="15.75" hidden="false" customHeight="true" outlineLevel="0" collapsed="false">
      <c r="A31" s="40" t="s">
        <v>59</v>
      </c>
      <c r="B31" s="64" t="e">
        <f aca="false">SUMIFS(#REF!,Conferencias!K:K,1,Conferencias!$H:$H,1)+SUMIFS(Periodicos!$AB:$AB,Periodicos!K:K,1,Periodicos!$H:$H,1)</f>
        <v>#REF!</v>
      </c>
      <c r="C31" s="64" t="e">
        <f aca="false">SUMIFS(#REF!,#REF!,1,Conferencias!$H:$H,1)+SUMIFS(Periodicos!$AB:$AB,Periodicos!L:L,1,Periodicos!$H:$H,1)</f>
        <v>#VALUE!</v>
      </c>
      <c r="D31" s="64" t="e">
        <f aca="false">SUMIFS(#REF!,#REF!,1,Conferencias!$H:$H,1)+SUMIFS(Periodicos!$AB:$AB,Periodicos!M:M,1,Periodicos!$H:$H,1)</f>
        <v>#VALUE!</v>
      </c>
      <c r="E31" s="64" t="e">
        <f aca="false">SUMIFS(#REF!,#REF!,1,Conferencias!$H:$H,1)+SUMIFS(Periodicos!$AB:$AB,Periodicos!N:N,1,Periodicos!$H:$H,1)</f>
        <v>#VALUE!</v>
      </c>
      <c r="F31" s="64" t="e">
        <f aca="false">SUMIFS(#REF!,#REF!,1,Conferencias!$H:$H,1)+SUMIFS(Periodicos!$AB:$AB,Periodicos!O:O,1,Periodicos!$H:$H,1)</f>
        <v>#VALUE!</v>
      </c>
      <c r="G31" s="64" t="e">
        <f aca="false">SUMIFS(#REF!,#REF!,1,Conferencias!$H:$H,1)+SUMIFS(Periodicos!$AB:$AB,Periodicos!P:P,1,Periodicos!$H:$H,1)</f>
        <v>#VALUE!</v>
      </c>
      <c r="H31" s="64" t="e">
        <f aca="false">SUMIFS(#REF!,#REF!,1,Conferencias!$H:$H,1)+SUMIFS(Periodicos!$AB:$AB,Periodicos!Q:Q,1,Periodicos!$H:$H,1)</f>
        <v>#VALUE!</v>
      </c>
      <c r="I31" s="64" t="e">
        <f aca="false">SUMIFS(#REF!,#REF!,1,Conferencias!$H:$H,1)+SUMIFS(Periodicos!$AB:$AB,Periodicos!R:R,1,Periodicos!$H:$H,1)</f>
        <v>#VALUE!</v>
      </c>
      <c r="J31" s="64" t="e">
        <f aca="false">SUMIFS(#REF!,#REF!,1,Conferencias!$H:$H,1)+SUMIFS(Periodicos!$AB:$AB,Periodicos!S:S,1,Periodicos!$H:$H,1)</f>
        <v>#VALUE!</v>
      </c>
      <c r="K31" s="64" t="e">
        <f aca="false">SUMIFS(#REF!,#REF!,1,Conferencias!$H:$H,1)+SUMIFS(Periodicos!$AB:$AB,Periodicos!T:T,1,Periodicos!$H:$H,1)</f>
        <v>#VALUE!</v>
      </c>
      <c r="L31" s="64" t="e">
        <f aca="false">SUMIFS(#REF!,#REF!,1,Conferencias!$H:$H,1)+SUMIFS(Periodicos!$AB:$AB,Periodicos!U:U,1,Periodicos!$H:$H,1)</f>
        <v>#VALUE!</v>
      </c>
      <c r="M31" s="64" t="e">
        <f aca="false">SUMIFS(#REF!,#REF!,1,Conferencias!$H:$H,1)+SUMIFS(Periodicos!$AB:$AB,Periodicos!V:V,1,Periodicos!$H:$H,1)</f>
        <v>#VALUE!</v>
      </c>
      <c r="N31" s="64" t="e">
        <f aca="false">SUMIFS(#REF!,#REF!,1,Conferencias!$H:$H,1)+SUMIFS(Periodicos!$AB:$AB,Periodicos!W:W,1,Periodicos!$H:$H,1)</f>
        <v>#VALUE!</v>
      </c>
      <c r="O31" s="64" t="e">
        <f aca="false">SUMIFS(#REF!,#REF!,1,Conferencias!$H:$H,1)+SUMIFS(Periodicos!$AB:$AB,Periodicos!X:X,1,Periodicos!$H:$H,1)</f>
        <v>#VALUE!</v>
      </c>
      <c r="P31" s="64" t="e">
        <f aca="false">SUMIFS(#REF!,#REF!,1,Conferencias!$H:$H,1)+SUMIFS(Periodicos!$AB:$AB,Periodicos!Y:Y,1,Periodicos!$H:$H,1)</f>
        <v>#VALUE!</v>
      </c>
      <c r="Q31" s="64" t="e">
        <f aca="false">SUMIFS(#REF!,#REF!,1,Conferencias!$H:$H,1)+SUMIFS(Periodicos!$AB:$AB,Periodicos!Z:Z,1,Periodicos!$H:$H,1)</f>
        <v>#VALUE!</v>
      </c>
      <c r="S31" s="31" t="s">
        <v>75</v>
      </c>
    </row>
    <row r="32" customFormat="false" ht="15.75" hidden="false" customHeight="true" outlineLevel="0" collapsed="false">
      <c r="A32" s="65" t="s">
        <v>76</v>
      </c>
      <c r="B32" s="66" t="e">
        <f aca="false">B29+B30+2*B24+3*B25+MIN(B26*0.2,0.8)</f>
        <v>#REF!</v>
      </c>
      <c r="C32" s="66" t="e">
        <f aca="false">C29+C30+2*C24+3*C25+MIN(C26*0.2,0.8)</f>
        <v>#VALUE!</v>
      </c>
      <c r="D32" s="66" t="e">
        <f aca="false">D29+D30+2*D24+3*D25+MIN(D26*0.2,0.8)</f>
        <v>#VALUE!</v>
      </c>
      <c r="E32" s="66" t="e">
        <f aca="false">E29+E30+2*E24+3*E25+MIN(E26*0.2,0.8)</f>
        <v>#VALUE!</v>
      </c>
      <c r="F32" s="66" t="e">
        <f aca="false">F29+F30+2*F24+3*F25+MIN(F26*0.2,0.8)</f>
        <v>#VALUE!</v>
      </c>
      <c r="G32" s="66" t="e">
        <f aca="false">G29+G30+2*G24+3*G25+MIN(G26*0.2,0.8)</f>
        <v>#VALUE!</v>
      </c>
      <c r="H32" s="66" t="e">
        <f aca="false">H29+H30+2*H24+3*H25+MIN(H26*0.2,0.8)</f>
        <v>#VALUE!</v>
      </c>
      <c r="I32" s="66" t="e">
        <f aca="false">I29+I30+2*I24+3*I25+MIN(I26*0.2,0.8)</f>
        <v>#VALUE!</v>
      </c>
      <c r="J32" s="66" t="e">
        <f aca="false">J29+J30+2*J24+3*J25+MIN(J26*0.2,0.8)</f>
        <v>#VALUE!</v>
      </c>
      <c r="K32" s="66" t="e">
        <f aca="false">K29+K30+2*K24+3*K25+MIN(K26*0.2,0.8)</f>
        <v>#VALUE!</v>
      </c>
      <c r="L32" s="66" t="e">
        <f aca="false">L29+L30+2*L24+3*L25+MIN(L26*0.2,0.8)</f>
        <v>#VALUE!</v>
      </c>
      <c r="M32" s="66" t="e">
        <f aca="false">M29+M30+2*M24+3*M25+MIN(M26*0.2,0.8)</f>
        <v>#VALUE!</v>
      </c>
      <c r="N32" s="66" t="e">
        <f aca="false">N29+N30+2*N24+3*N25+MIN(N26*0.2,0.8)</f>
        <v>#VALUE!</v>
      </c>
      <c r="O32" s="66" t="e">
        <f aca="false">O29+O30+2*O24+3*O25+MIN(O26*0.2,0.8)</f>
        <v>#VALUE!</v>
      </c>
      <c r="P32" s="66" t="e">
        <f aca="false">P29+P30+2*P24+3*P25+MIN(P26*0.2,0.8)</f>
        <v>#VALUE!</v>
      </c>
      <c r="Q32" s="66" t="e">
        <f aca="false">Q29+Q30+2*Q24+3*Q25+MIN(Q26*0.2,0.8)</f>
        <v>#VALUE!</v>
      </c>
      <c r="S32" s="31" t="s">
        <v>77</v>
      </c>
      <c r="X32" s="31"/>
    </row>
    <row r="33" customFormat="false" ht="15.75" hidden="false" customHeight="true" outlineLevel="0" collapsed="false">
      <c r="X33" s="31"/>
    </row>
    <row r="35" customFormat="false" ht="15.75" hidden="false" customHeight="true" outlineLevel="0" collapsed="false">
      <c r="A35" s="62" t="s">
        <v>78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</row>
    <row r="36" customFormat="false" ht="15.75" hidden="false" customHeight="true" outlineLevel="0" collapsed="false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</row>
    <row r="37" customFormat="false" ht="15.75" hidden="false" customHeight="true" outlineLevel="0" collapsed="false">
      <c r="A37" s="62" t="s">
        <v>79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</row>
    <row r="38" customFormat="false" ht="15.75" hidden="false" customHeight="true" outlineLevel="0" collapsed="false">
      <c r="A38" s="44" t="s">
        <v>80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customFormat="false" ht="15.75" hidden="false" customHeight="true" outlineLevel="0" collapsed="false">
      <c r="A39" s="40" t="s">
        <v>81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customFormat="false" ht="15.75" hidden="false" customHeight="true" outlineLevel="0" collapsed="false">
      <c r="A40" s="44" t="s">
        <v>82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</row>
    <row r="41" customFormat="false" ht="15.75" hidden="false" customHeight="true" outlineLevel="0" collapsed="false">
      <c r="A41" s="62" t="s">
        <v>83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</row>
    <row r="42" customFormat="false" ht="15.75" hidden="false" customHeight="true" outlineLevel="0" collapsed="false">
      <c r="A42" s="44" t="s">
        <v>84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</row>
    <row r="43" customFormat="false" ht="15.75" hidden="false" customHeight="true" outlineLevel="0" collapsed="false">
      <c r="A43" s="40" t="s">
        <v>85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customFormat="false" ht="15.75" hidden="false" customHeight="true" outlineLevel="0" collapsed="false">
      <c r="A44" s="44" t="s">
        <v>86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</row>
    <row r="45" customFormat="false" ht="15.75" hidden="false" customHeight="true" outlineLevel="0" collapsed="false">
      <c r="A45" s="62" t="s">
        <v>87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customFormat="false" ht="15.75" hidden="false" customHeight="true" outlineLevel="0" collapsed="false">
      <c r="A46" s="44" t="s">
        <v>88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</row>
    <row r="47" customFormat="false" ht="15.75" hidden="false" customHeight="true" outlineLevel="0" collapsed="false">
      <c r="A47" s="40" t="s">
        <v>89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customFormat="false" ht="15.75" hidden="false" customHeight="true" outlineLevel="0" collapsed="false">
      <c r="A48" s="44" t="s">
        <v>90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</row>
    <row r="49" customFormat="false" ht="15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</row>
  </sheetData>
  <conditionalFormatting sqref="B31:Q31">
    <cfRule type="cellIs" priority="2" operator="lessThan" aboveAverage="0" equalAverage="0" bottom="0" percent="0" rank="0" text="" dxfId="0">
      <formula>2.8</formula>
    </cfRule>
  </conditionalFormatting>
  <conditionalFormatting sqref="B32:Q32">
    <cfRule type="cellIs" priority="3" operator="lessThan" aboveAverage="0" equalAverage="0" bottom="0" percent="0" rank="0" text="" dxfId="0">
      <formula>4</formula>
    </cfRule>
  </conditionalFormatting>
  <conditionalFormatting sqref="B30:Q30">
    <cfRule type="cellIs" priority="4" operator="lessThan" aboveAverage="0" equalAverage="0" bottom="0" percent="0" rank="0" text="" dxfId="0">
      <formula>1.4</formula>
    </cfRule>
  </conditionalFormatting>
  <printOptions headings="false" gridLines="false" gridLinesSet="true" horizontalCentered="true" verticalCentered="tru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O8" activeCellId="0" sqref="O8"/>
    </sheetView>
  </sheetViews>
  <sheetFormatPr defaultColWidth="11.00390625" defaultRowHeight="15" zeroHeight="false" outlineLevelRow="0" outlineLevelCol="0"/>
  <cols>
    <col collapsed="false" customWidth="true" hidden="false" outlineLevel="0" max="1" min="1" style="6" width="5.12"/>
    <col collapsed="false" customWidth="true" hidden="false" outlineLevel="0" max="2" min="2" style="6" width="4.5"/>
    <col collapsed="false" customWidth="true" hidden="false" outlineLevel="0" max="3" min="3" style="30" width="69.38"/>
    <col collapsed="false" customWidth="true" hidden="false" outlineLevel="0" max="4" min="4" style="30" width="50.62"/>
    <col collapsed="false" customWidth="true" hidden="false" outlineLevel="0" max="5" min="5" style="30" width="40.12"/>
    <col collapsed="false" customWidth="true" hidden="false" outlineLevel="0" max="6" min="6" style="68" width="14.5"/>
    <col collapsed="false" customWidth="true" hidden="false" outlineLevel="0" max="7" min="7" style="69" width="6.88"/>
    <col collapsed="false" customWidth="true" hidden="false" outlineLevel="0" max="8" min="8" style="69" width="9.62"/>
    <col collapsed="false" customWidth="true" hidden="false" outlineLevel="0" max="9" min="9" style="69" width="4.62"/>
    <col collapsed="false" customWidth="true" hidden="false" outlineLevel="0" max="10" min="10" style="30" width="1.88"/>
    <col collapsed="false" customWidth="true" hidden="false" outlineLevel="0" max="11" min="11" style="4" width="10.49"/>
    <col collapsed="false" customWidth="true" hidden="false" outlineLevel="0" max="12" min="12" style="30" width="10.49"/>
    <col collapsed="false" customWidth="true" hidden="false" outlineLevel="0" max="16384" min="16354" style="30" width="10.49"/>
  </cols>
  <sheetData>
    <row r="1" s="71" customFormat="true" ht="126.75" hidden="false" customHeight="true" outlineLevel="0" collapsed="false">
      <c r="A1" s="70" t="s">
        <v>19</v>
      </c>
      <c r="B1" s="70" t="s">
        <v>91</v>
      </c>
      <c r="C1" s="71" t="s">
        <v>92</v>
      </c>
      <c r="D1" s="71" t="s">
        <v>93</v>
      </c>
      <c r="E1" s="71" t="s">
        <v>94</v>
      </c>
      <c r="F1" s="72" t="s">
        <v>95</v>
      </c>
      <c r="G1" s="72" t="s">
        <v>96</v>
      </c>
      <c r="H1" s="72" t="s">
        <v>59</v>
      </c>
      <c r="I1" s="73" t="s">
        <v>97</v>
      </c>
      <c r="J1" s="70"/>
      <c r="M1" s="74" t="s">
        <v>95</v>
      </c>
      <c r="N1" s="75" t="s">
        <v>21</v>
      </c>
      <c r="O1" s="74" t="s">
        <v>98</v>
      </c>
      <c r="P1" s="74" t="s">
        <v>99</v>
      </c>
    </row>
    <row r="2" customFormat="false" ht="15" hidden="false" customHeight="true" outlineLevel="0" collapsed="false">
      <c r="A2" s="6" t="s">
        <v>100</v>
      </c>
      <c r="B2" s="6" t="n">
        <v>2</v>
      </c>
      <c r="C2" s="30" t="s">
        <v>101</v>
      </c>
      <c r="D2" s="30" t="s">
        <v>102</v>
      </c>
      <c r="F2" s="68" t="e">
        <f aca="false">VLOOKUP(D2,LConferencias!A:B,2,FALSE())</f>
        <v>#N/A</v>
      </c>
      <c r="G2" s="69" t="e">
        <f aca="false">VLOOKUP(D2,LConferencias!A:C,3,FALSE())</f>
        <v>#N/A</v>
      </c>
      <c r="H2" s="69" t="e">
        <f aca="false">VLOOKUP(D2,LConferencias!A:D,4,FALSE())</f>
        <v>#N/A</v>
      </c>
      <c r="I2" s="69" t="n">
        <f aca="false">IF(E2&lt;&gt;"",1,0)</f>
        <v>0</v>
      </c>
      <c r="M2" s="1" t="e">
        <f aca="false">VLOOKUP(F2,Tabelas!A:C,2,FALSE())</f>
        <v>#N/A</v>
      </c>
      <c r="N2" s="76" t="n">
        <f aca="false">SUM(K2:K2)</f>
        <v>0</v>
      </c>
      <c r="O2" s="77" t="e">
        <f aca="false">IF(#REF!&lt;=2,1,1-LOG(#REF!-1))</f>
        <v>#REF!</v>
      </c>
      <c r="P2" s="78" t="e">
        <f aca="false">VLOOKUP(D2,LConferencias!A:E,5,FALSE())*IF(I2&gt;0,1.1,1)*#REF!</f>
        <v>#N/A</v>
      </c>
    </row>
    <row r="3" customFormat="false" ht="15.75" hidden="false" customHeight="true" outlineLevel="0" collapsed="false">
      <c r="F3" s="68" t="e">
        <f aca="false">VLOOKUP(D3,LConferencias!A:B,2,FALSE())</f>
        <v>#N/A</v>
      </c>
      <c r="G3" s="69" t="e">
        <f aca="false">VLOOKUP(D3,LConferencias!A:C,3,FALSE())</f>
        <v>#N/A</v>
      </c>
      <c r="H3" s="69" t="e">
        <f aca="false">VLOOKUP(D3,LConferencias!A:D,4,FALSE())</f>
        <v>#N/A</v>
      </c>
      <c r="I3" s="69" t="n">
        <f aca="false">IF(E3&lt;&gt;"",1,0)</f>
        <v>0</v>
      </c>
      <c r="M3" s="1" t="e">
        <f aca="false">VLOOKUP(F3,Tabelas!A:C,2,FALSE())</f>
        <v>#N/A</v>
      </c>
      <c r="N3" s="76" t="n">
        <f aca="false">SUM(K3:K3)</f>
        <v>0</v>
      </c>
      <c r="O3" s="77" t="e">
        <f aca="false">IF(#REF!&lt;=2,1,1-LOG(#REF!-1))</f>
        <v>#REF!</v>
      </c>
      <c r="P3" s="78" t="e">
        <f aca="false">VLOOKUP(D3,LConferencias!A:E,5,FALSE())*IF(I3&gt;0,1.1,1)*#REF!</f>
        <v>#N/A</v>
      </c>
    </row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9" activePane="bottomLeft" state="frozen"/>
      <selection pane="topLeft" activeCell="A1" activeCellId="0" sqref="A1"/>
      <selection pane="bottomLeft" activeCell="A47" activeCellId="0" sqref="A47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6" width="6.12"/>
    <col collapsed="false" customWidth="true" hidden="false" outlineLevel="0" max="2" min="2" style="6" width="7.38"/>
    <col collapsed="false" customWidth="true" hidden="false" outlineLevel="0" max="3" min="3" style="30" width="105.12"/>
    <col collapsed="false" customWidth="true" hidden="false" outlineLevel="0" max="4" min="4" style="30" width="46.62"/>
    <col collapsed="false" customWidth="true" hidden="false" outlineLevel="0" max="5" min="5" style="30" width="33.62"/>
    <col collapsed="false" customWidth="true" hidden="false" outlineLevel="0" max="6" min="6" style="79" width="8.12"/>
    <col collapsed="false" customWidth="true" hidden="false" outlineLevel="0" max="7" min="7" style="79" width="6.88"/>
    <col collapsed="false" customWidth="true" hidden="false" outlineLevel="0" max="8" min="8" style="79" width="9.62"/>
    <col collapsed="false" customWidth="true" hidden="false" outlineLevel="0" max="9" min="9" style="79" width="4.62"/>
    <col collapsed="false" customWidth="true" hidden="false" outlineLevel="0" max="10" min="10" style="30" width="1.62"/>
    <col collapsed="false" customWidth="true" hidden="false" outlineLevel="0" max="26" min="11" style="4" width="4.88"/>
    <col collapsed="false" customWidth="true" hidden="false" outlineLevel="0" max="27" min="27" style="30" width="1.62"/>
    <col collapsed="false" customWidth="true" hidden="false" outlineLevel="0" max="28" min="28" style="80" width="7.88"/>
    <col collapsed="false" customWidth="true" hidden="false" outlineLevel="0" max="29" min="29" style="79" width="5.62"/>
    <col collapsed="false" customWidth="true" hidden="false" outlineLevel="0" max="30" min="30" style="80" width="7.5"/>
    <col collapsed="false" customWidth="true" hidden="false" outlineLevel="0" max="31" min="31" style="80" width="7.62"/>
  </cols>
  <sheetData>
    <row r="1" s="71" customFormat="true" ht="105" hidden="false" customHeight="true" outlineLevel="0" collapsed="false">
      <c r="A1" s="70" t="s">
        <v>19</v>
      </c>
      <c r="B1" s="70" t="s">
        <v>91</v>
      </c>
      <c r="C1" s="71" t="s">
        <v>92</v>
      </c>
      <c r="D1" s="71" t="s">
        <v>93</v>
      </c>
      <c r="E1" s="71" t="s">
        <v>94</v>
      </c>
      <c r="F1" s="81" t="s">
        <v>95</v>
      </c>
      <c r="G1" s="81" t="s">
        <v>96</v>
      </c>
      <c r="H1" s="81" t="s">
        <v>59</v>
      </c>
      <c r="I1" s="74" t="s">
        <v>97</v>
      </c>
      <c r="J1" s="70"/>
      <c r="K1" s="82" t="s">
        <v>103</v>
      </c>
      <c r="L1" s="82" t="s">
        <v>104</v>
      </c>
      <c r="M1" s="82" t="s">
        <v>105</v>
      </c>
      <c r="N1" s="82" t="s">
        <v>106</v>
      </c>
      <c r="O1" s="82" t="s">
        <v>107</v>
      </c>
      <c r="P1" s="82" t="s">
        <v>108</v>
      </c>
      <c r="Q1" s="82" t="s">
        <v>109</v>
      </c>
      <c r="R1" s="82" t="s">
        <v>110</v>
      </c>
      <c r="S1" s="82" t="s">
        <v>111</v>
      </c>
      <c r="T1" s="82" t="s">
        <v>112</v>
      </c>
      <c r="U1" s="82" t="s">
        <v>113</v>
      </c>
      <c r="V1" s="82" t="s">
        <v>114</v>
      </c>
      <c r="W1" s="82" t="s">
        <v>115</v>
      </c>
      <c r="X1" s="82" t="s">
        <v>116</v>
      </c>
      <c r="Y1" s="82" t="s">
        <v>117</v>
      </c>
      <c r="Z1" s="82" t="s">
        <v>118</v>
      </c>
      <c r="AA1" s="70"/>
      <c r="AB1" s="74" t="s">
        <v>95</v>
      </c>
      <c r="AC1" s="75" t="s">
        <v>21</v>
      </c>
      <c r="AD1" s="74" t="s">
        <v>98</v>
      </c>
      <c r="AE1" s="74" t="s">
        <v>99</v>
      </c>
    </row>
    <row r="2" customFormat="false" ht="16.5" hidden="false" customHeight="true" outlineLevel="0" collapsed="false">
      <c r="A2" s="1" t="s">
        <v>100</v>
      </c>
      <c r="B2" s="1" t="n">
        <v>1</v>
      </c>
      <c r="C2" s="1" t="s">
        <v>119</v>
      </c>
      <c r="D2" s="83" t="s">
        <v>120</v>
      </c>
      <c r="E2" s="1"/>
      <c r="F2" s="1" t="str">
        <f aca="false">VLOOKUP(D2,LPeriodicos!A:B,2,FALSE())</f>
        <v>A2</v>
      </c>
      <c r="G2" s="1" t="n">
        <f aca="false">VLOOKUP(D2,LPeriodicos!A:C,3,FALSE())</f>
        <v>0</v>
      </c>
      <c r="H2" s="1" t="n">
        <f aca="false">VLOOKUP(D2,LPeriodicos!A:D,4,FALSE())</f>
        <v>1</v>
      </c>
      <c r="I2" s="1" t="n">
        <f aca="false">IF(E2&lt;&gt;"",1,0)</f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84" t="n">
        <f aca="false">VLOOKUP(F2,Tabelas!A:C,2,FALSE())</f>
        <v>0.875</v>
      </c>
      <c r="AC2" s="84" t="n">
        <f aca="false">SUM(K2:Z2)</f>
        <v>0</v>
      </c>
      <c r="AD2" s="84" t="n">
        <f aca="false">IF(AC2&lt;=2,1,1-LOG(AC2-1))</f>
        <v>1</v>
      </c>
      <c r="AE2" s="84" t="n">
        <f aca="false">VLOOKUP(D2,LPeriodicos!A:E,5,FALSE())*IF(I2&gt;0,1.1,1)*AD2</f>
        <v>0.875</v>
      </c>
    </row>
    <row r="3" customFormat="false" ht="16.5" hidden="false" customHeight="true" outlineLevel="0" collapsed="false">
      <c r="A3" s="6" t="s">
        <v>100</v>
      </c>
      <c r="B3" s="6" t="n">
        <v>2</v>
      </c>
      <c r="C3" s="30" t="s">
        <v>121</v>
      </c>
      <c r="D3" s="83" t="s">
        <v>120</v>
      </c>
      <c r="F3" s="79" t="str">
        <f aca="false">VLOOKUP(D3,LPeriodicos!A:B,2,FALSE())</f>
        <v>A2</v>
      </c>
      <c r="G3" s="79" t="n">
        <f aca="false">VLOOKUP(D3,LPeriodicos!A:C,3,FALSE())</f>
        <v>0</v>
      </c>
      <c r="H3" s="79" t="n">
        <f aca="false">VLOOKUP(D3,LPeriodicos!A:D,4,FALSE())</f>
        <v>1</v>
      </c>
      <c r="I3" s="79" t="n">
        <f aca="false">IF(E3&lt;&gt;"",1,0)</f>
        <v>0</v>
      </c>
      <c r="AB3" s="80" t="n">
        <f aca="false">VLOOKUP(F3,Tabelas!A:C,2,FALSE())</f>
        <v>0.875</v>
      </c>
      <c r="AC3" s="85" t="n">
        <f aca="false">SUM(K3:Z3)</f>
        <v>0</v>
      </c>
      <c r="AD3" s="80" t="n">
        <f aca="false">IF(AC3&lt;=2,1,1-LOG(AC3-1))</f>
        <v>1</v>
      </c>
      <c r="AE3" s="80" t="n">
        <f aca="false">VLOOKUP(D3,LPeriodicos!A:E,5,FALSE())*IF(I3&gt;0,1.1,1)*AD3</f>
        <v>0.875</v>
      </c>
    </row>
    <row r="4" customFormat="false" ht="16.5" hidden="false" customHeight="true" outlineLevel="0" collapsed="false">
      <c r="A4" s="6" t="s">
        <v>100</v>
      </c>
      <c r="B4" s="6" t="n">
        <v>3</v>
      </c>
      <c r="C4" s="30" t="s">
        <v>122</v>
      </c>
      <c r="D4" s="83" t="s">
        <v>123</v>
      </c>
      <c r="F4" s="79" t="str">
        <f aca="false">VLOOKUP(D4,LPeriodicos!A:B,2,FALSE())</f>
        <v>A2</v>
      </c>
      <c r="G4" s="79" t="n">
        <f aca="false">VLOOKUP(D4,LPeriodicos!A:C,3,FALSE())</f>
        <v>0</v>
      </c>
      <c r="H4" s="79" t="n">
        <f aca="false">VLOOKUP(D4,LPeriodicos!A:D,4,FALSE())</f>
        <v>1</v>
      </c>
      <c r="I4" s="79" t="n">
        <f aca="false">IF(E4&lt;&gt;"",1,0)</f>
        <v>0</v>
      </c>
      <c r="AB4" s="80" t="n">
        <f aca="false">VLOOKUP(F4,Tabelas!A:C,2,FALSE())</f>
        <v>0.875</v>
      </c>
      <c r="AC4" s="85" t="n">
        <f aca="false">SUM(K4:Z4)</f>
        <v>0</v>
      </c>
      <c r="AD4" s="80" t="n">
        <f aca="false">IF(AC4&lt;=2,1,1-LOG(AC4-1))</f>
        <v>1</v>
      </c>
      <c r="AE4" s="80" t="n">
        <f aca="false">VLOOKUP(D4,LPeriodicos!A:E,5,FALSE())*IF(I4&gt;0,1.1,1)*AD4</f>
        <v>0.875</v>
      </c>
    </row>
    <row r="5" customFormat="false" ht="16.5" hidden="false" customHeight="true" outlineLevel="0" collapsed="false">
      <c r="A5" s="6" t="s">
        <v>100</v>
      </c>
      <c r="B5" s="6" t="n">
        <v>4</v>
      </c>
      <c r="C5" s="30" t="s">
        <v>124</v>
      </c>
      <c r="D5" s="83" t="s">
        <v>125</v>
      </c>
      <c r="F5" s="79" t="str">
        <f aca="false">VLOOKUP(D5,LPeriodicos!A:B,2,FALSE())</f>
        <v>A2</v>
      </c>
      <c r="G5" s="79" t="n">
        <f aca="false">VLOOKUP(D5,LPeriodicos!A:C,3,FALSE())</f>
        <v>0</v>
      </c>
      <c r="H5" s="79" t="n">
        <f aca="false">VLOOKUP(D5,LPeriodicos!A:D,4,FALSE())</f>
        <v>1</v>
      </c>
      <c r="I5" s="79" t="n">
        <f aca="false">IF(E5&lt;&gt;"",1,0)</f>
        <v>0</v>
      </c>
      <c r="U5" s="4" t="n">
        <v>1</v>
      </c>
      <c r="AB5" s="80" t="n">
        <f aca="false">VLOOKUP(F5,Tabelas!A:C,2,FALSE())</f>
        <v>0.875</v>
      </c>
      <c r="AC5" s="85" t="n">
        <f aca="false">SUM(K5:Z5)</f>
        <v>1</v>
      </c>
      <c r="AD5" s="80" t="n">
        <f aca="false">IF(AC5&lt;=2,1,1-LOG(AC5-1))</f>
        <v>1</v>
      </c>
      <c r="AE5" s="80" t="n">
        <f aca="false">VLOOKUP(D5,LPeriodicos!A:E,5,FALSE())*IF(I5&gt;0,1.1,1)*AD5</f>
        <v>0.875</v>
      </c>
    </row>
    <row r="6" customFormat="false" ht="15.75" hidden="false" customHeight="true" outlineLevel="0" collapsed="false">
      <c r="A6" s="6" t="s">
        <v>100</v>
      </c>
      <c r="B6" s="6" t="n">
        <v>5</v>
      </c>
      <c r="C6" s="30" t="s">
        <v>126</v>
      </c>
      <c r="D6" s="83" t="s">
        <v>127</v>
      </c>
      <c r="F6" s="79" t="str">
        <f aca="false">VLOOKUP(D6,LPeriodicos!A:B,2,FALSE())</f>
        <v>A3</v>
      </c>
      <c r="G6" s="79" t="n">
        <f aca="false">VLOOKUP(D6,LPeriodicos!A:C,3,FALSE())</f>
        <v>0</v>
      </c>
      <c r="H6" s="79" t="n">
        <f aca="false">VLOOKUP(D6,LPeriodicos!A:D,4,FALSE())</f>
        <v>1</v>
      </c>
      <c r="I6" s="79" t="n">
        <f aca="false">IF(E6&lt;&gt;"",1,0)</f>
        <v>0</v>
      </c>
      <c r="AB6" s="80" t="n">
        <f aca="false">VLOOKUP(F6,Tabelas!A:C,2,FALSE())</f>
        <v>0.75</v>
      </c>
      <c r="AC6" s="85" t="n">
        <f aca="false">SUM(K6:Z6)</f>
        <v>0</v>
      </c>
      <c r="AD6" s="80" t="n">
        <f aca="false">IF(AC6&lt;=2,1,1-LOG(AC6-1))</f>
        <v>1</v>
      </c>
      <c r="AE6" s="80" t="n">
        <f aca="false">VLOOKUP(D6,LPeriodicos!A:E,5,FALSE())*IF(I6&gt;0,1.1,1)*AD6</f>
        <v>0.75</v>
      </c>
    </row>
    <row r="7" customFormat="false" ht="15.75" hidden="false" customHeight="true" outlineLevel="0" collapsed="false">
      <c r="A7" s="6" t="s">
        <v>100</v>
      </c>
      <c r="B7" s="6" t="n">
        <v>6</v>
      </c>
      <c r="C7" s="30" t="s">
        <v>128</v>
      </c>
      <c r="D7" s="83" t="s">
        <v>129</v>
      </c>
      <c r="F7" s="79" t="str">
        <f aca="false">VLOOKUP(D7,LPeriodicos!A:B,2,FALSE())</f>
        <v>NA</v>
      </c>
      <c r="G7" s="79" t="n">
        <f aca="false">VLOOKUP(D7,LPeriodicos!A:C,3,FALSE())</f>
        <v>0</v>
      </c>
      <c r="H7" s="79" t="n">
        <f aca="false">VLOOKUP(D7,LPeriodicos!A:D,4,FALSE())</f>
        <v>0</v>
      </c>
      <c r="I7" s="79" t="n">
        <f aca="false">IF(E7&lt;&gt;"",1,0)</f>
        <v>0</v>
      </c>
      <c r="AB7" s="80" t="n">
        <f aca="false">VLOOKUP(F7,Tabelas!A:C,2,FALSE())</f>
        <v>0</v>
      </c>
      <c r="AC7" s="85" t="n">
        <f aca="false">SUM(K7:Z7)</f>
        <v>0</v>
      </c>
      <c r="AD7" s="80" t="n">
        <f aca="false">IF(AC7&lt;=2,1,1-LOG(AC7-1))</f>
        <v>1</v>
      </c>
      <c r="AE7" s="80" t="n">
        <f aca="false">VLOOKUP(D7,LPeriodicos!A:E,5,FALSE())*IF(I7&gt;0,1.1,1)*AD7</f>
        <v>0</v>
      </c>
    </row>
    <row r="8" customFormat="false" ht="16.5" hidden="false" customHeight="true" outlineLevel="0" collapsed="false">
      <c r="A8" s="6" t="s">
        <v>100</v>
      </c>
      <c r="B8" s="6" t="n">
        <v>7</v>
      </c>
      <c r="C8" s="30" t="s">
        <v>130</v>
      </c>
      <c r="D8" s="83" t="s">
        <v>131</v>
      </c>
      <c r="F8" s="79" t="str">
        <f aca="false">VLOOKUP(D8,LPeriodicos!A:B,2,FALSE())</f>
        <v>A1</v>
      </c>
      <c r="G8" s="79" t="n">
        <f aca="false">VLOOKUP(D8,LPeriodicos!A:C,3,FALSE())</f>
        <v>0</v>
      </c>
      <c r="H8" s="79" t="n">
        <f aca="false">VLOOKUP(D8,LPeriodicos!A:D,4,FALSE())</f>
        <v>1</v>
      </c>
      <c r="I8" s="79" t="n">
        <f aca="false">IF(E8&lt;&gt;"",1,0)</f>
        <v>0</v>
      </c>
      <c r="W8" s="4" t="n">
        <v>1</v>
      </c>
      <c r="Y8" s="4" t="n">
        <v>1</v>
      </c>
      <c r="AB8" s="80" t="n">
        <f aca="false">VLOOKUP(F8,Tabelas!A:C,2,FALSE())</f>
        <v>1</v>
      </c>
      <c r="AC8" s="85" t="n">
        <f aca="false">SUM(K8:Z8)</f>
        <v>2</v>
      </c>
      <c r="AD8" s="80" t="n">
        <f aca="false">IF(AC8&lt;=2,1,1-LOG(AC8-1))</f>
        <v>1</v>
      </c>
      <c r="AE8" s="80" t="n">
        <f aca="false">VLOOKUP(D8,LPeriodicos!A:E,5,FALSE())*IF(I8&gt;0,1.1,1)*AD8</f>
        <v>1</v>
      </c>
    </row>
    <row r="9" customFormat="false" ht="16.5" hidden="false" customHeight="true" outlineLevel="0" collapsed="false">
      <c r="A9" s="6" t="s">
        <v>100</v>
      </c>
      <c r="B9" s="6" t="n">
        <v>8</v>
      </c>
      <c r="C9" s="30" t="s">
        <v>132</v>
      </c>
      <c r="D9" s="30" t="s">
        <v>133</v>
      </c>
      <c r="F9" s="79" t="str">
        <f aca="false">VLOOKUP(D9,LPeriodicos!A:B,2,FALSE())</f>
        <v>A1</v>
      </c>
      <c r="G9" s="79" t="n">
        <f aca="false">VLOOKUP(D9,LPeriodicos!A:C,3,FALSE())</f>
        <v>0</v>
      </c>
      <c r="H9" s="79" t="n">
        <f aca="false">VLOOKUP(D9,LPeriodicos!A:D,4,FALSE())</f>
        <v>1</v>
      </c>
      <c r="I9" s="79" t="n">
        <f aca="false">IF(E9&lt;&gt;"",1,0)</f>
        <v>0</v>
      </c>
      <c r="W9" s="4" t="n">
        <v>1</v>
      </c>
      <c r="AB9" s="80" t="n">
        <f aca="false">VLOOKUP(F9,Tabelas!A:C,2,FALSE())</f>
        <v>1</v>
      </c>
      <c r="AC9" s="85" t="n">
        <f aca="false">SUM(K9:Z9)</f>
        <v>1</v>
      </c>
      <c r="AD9" s="80" t="n">
        <f aca="false">IF(AC9&lt;=2,1,1-LOG(AC9-1))</f>
        <v>1</v>
      </c>
      <c r="AE9" s="80" t="n">
        <f aca="false">VLOOKUP(D9,LPeriodicos!A:E,5,FALSE())*IF(I9&gt;0,1.1,1)*AD9</f>
        <v>1</v>
      </c>
    </row>
    <row r="10" customFormat="false" ht="15.75" hidden="false" customHeight="true" outlineLevel="0" collapsed="false">
      <c r="AC10" s="85"/>
    </row>
    <row r="11" customFormat="false" ht="16.5" hidden="false" customHeight="true" outlineLevel="0" collapsed="false">
      <c r="AC11" s="85"/>
    </row>
    <row r="12" customFormat="false" ht="16.5" hidden="false" customHeight="true" outlineLevel="0" collapsed="false">
      <c r="AC12" s="85"/>
    </row>
    <row r="13" customFormat="false" ht="16.5" hidden="false" customHeight="true" outlineLevel="0" collapsed="false">
      <c r="AC13" s="85"/>
    </row>
    <row r="14" customFormat="false" ht="16.5" hidden="false" customHeight="true" outlineLevel="0" collapsed="false">
      <c r="AC14" s="85"/>
    </row>
    <row r="15" customFormat="false" ht="15.75" hidden="false" customHeight="true" outlineLevel="0" collapsed="false">
      <c r="AC15" s="85"/>
    </row>
    <row r="16" customFormat="false" ht="16.5" hidden="false" customHeight="true" outlineLevel="0" collapsed="false">
      <c r="AC16" s="85"/>
    </row>
    <row r="17" customFormat="false" ht="16.5" hidden="false" customHeight="true" outlineLevel="0" collapsed="false">
      <c r="AC17" s="85"/>
    </row>
    <row r="18" customFormat="false" ht="16.5" hidden="false" customHeight="true" outlineLevel="0" collapsed="false">
      <c r="AC18" s="85"/>
    </row>
    <row r="19" customFormat="false" ht="16.5" hidden="false" customHeight="true" outlineLevel="0" collapsed="false">
      <c r="AC19" s="85"/>
    </row>
    <row r="20" customFormat="false" ht="15.75" hidden="false" customHeight="true" outlineLevel="0" collapsed="false">
      <c r="AC20" s="85"/>
    </row>
    <row r="21" customFormat="false" ht="16.5" hidden="false" customHeight="true" outlineLevel="0" collapsed="false">
      <c r="AC21" s="85"/>
    </row>
    <row r="22" customFormat="false" ht="16.5" hidden="false" customHeight="true" outlineLevel="0" collapsed="false">
      <c r="AC22" s="85"/>
    </row>
    <row r="23" customFormat="false" ht="16.5" hidden="false" customHeight="true" outlineLevel="0" collapsed="false">
      <c r="AC23" s="85"/>
    </row>
    <row r="24" customFormat="false" ht="15.75" hidden="false" customHeight="true" outlineLevel="0" collapsed="false">
      <c r="AC24" s="85"/>
    </row>
    <row r="25" customFormat="false" ht="15.75" hidden="false" customHeight="true" outlineLevel="0" collapsed="false">
      <c r="AC25" s="85"/>
    </row>
    <row r="26" customFormat="false" ht="16.5" hidden="false" customHeight="true" outlineLevel="0" collapsed="false">
      <c r="AC26" s="85"/>
    </row>
    <row r="27" customFormat="false" ht="15.75" hidden="false" customHeight="true" outlineLevel="0" collapsed="false">
      <c r="AC27" s="85"/>
    </row>
    <row r="28" customFormat="false" ht="16.5" hidden="false" customHeight="true" outlineLevel="0" collapsed="false">
      <c r="AC28" s="85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6.5" hidden="false" customHeight="true" outlineLevel="0" collapsed="false"/>
    <row r="32" customFormat="false" ht="15.75" hidden="false" customHeight="true" outlineLevel="0" collapsed="false">
      <c r="AC32" s="85"/>
    </row>
    <row r="33" customFormat="false" ht="16.5" hidden="false" customHeight="true" outlineLevel="0" collapsed="false">
      <c r="AC33" s="85"/>
    </row>
    <row r="34" customFormat="false" ht="15.75" hidden="false" customHeight="true" outlineLevel="0" collapsed="false">
      <c r="AC34" s="85"/>
    </row>
    <row r="35" customFormat="false" ht="16.5" hidden="false" customHeight="true" outlineLevel="0" collapsed="false">
      <c r="AC35" s="85"/>
    </row>
    <row r="36" customFormat="false" ht="15.75" hidden="false" customHeight="true" outlineLevel="0" collapsed="false">
      <c r="AC36" s="85"/>
    </row>
    <row r="37" customFormat="false" ht="15.75" hidden="false" customHeight="true" outlineLevel="0" collapsed="false">
      <c r="AC37" s="85"/>
    </row>
    <row r="38" customFormat="false" ht="15.75" hidden="false" customHeight="true" outlineLevel="0" collapsed="false">
      <c r="AC38" s="85"/>
    </row>
    <row r="39" customFormat="false" ht="15.75" hidden="false" customHeight="true" outlineLevel="0" collapsed="false">
      <c r="AC39" s="85"/>
    </row>
  </sheetData>
  <autoFilter ref="A1:AE39">
    <sortState ref="A2:AE39">
      <sortCondition ref="A2:A39" customList=""/>
    </sortState>
  </autoFilter>
  <conditionalFormatting sqref="AB46:AE46">
    <cfRule type="cellIs" priority="2" operator="equal" aboveAverage="0" equalAverage="0" bottom="0" percent="0" rank="0" text="" dxfId="6">
      <formula>0</formula>
    </cfRule>
  </conditionalFormatting>
  <conditionalFormatting sqref="AB45:AE45">
    <cfRule type="cellIs" priority="3" operator="equal" aboveAverage="0" equalAverage="0" bottom="0" percent="0" rank="0" text="" dxfId="6">
      <formula>0</formula>
    </cfRule>
  </conditionalFormatting>
  <conditionalFormatting sqref="AB44:AE44">
    <cfRule type="cellIs" priority="4" operator="equal" aboveAverage="0" equalAverage="0" bottom="0" percent="0" rank="0" text="" dxfId="6">
      <formula>0</formula>
    </cfRule>
  </conditionalFormatting>
  <conditionalFormatting sqref="AB43:AE43">
    <cfRule type="cellIs" priority="5" operator="equal" aboveAverage="0" equalAverage="0" bottom="0" percent="0" rank="0" text="" dxfId="6">
      <formula>0</formula>
    </cfRule>
  </conditionalFormatting>
  <conditionalFormatting sqref="AB42:AE42">
    <cfRule type="cellIs" priority="6" operator="equal" aboveAverage="0" equalAverage="0" bottom="0" percent="0" rank="0" text="" dxfId="6">
      <formula>0</formula>
    </cfRule>
  </conditionalFormatting>
  <conditionalFormatting sqref="AB41:AE41">
    <cfRule type="cellIs" priority="7" operator="equal" aboveAverage="0" equalAverage="0" bottom="0" percent="0" rank="0" text="" dxfId="6">
      <formula>0</formula>
    </cfRule>
  </conditionalFormatting>
  <conditionalFormatting sqref="AB40:AE40">
    <cfRule type="cellIs" priority="8" operator="equal" aboveAverage="0" equalAverage="0" bottom="0" percent="0" rank="0" text="" dxfId="6">
      <formula>0</formula>
    </cfRule>
  </conditionalFormatting>
  <conditionalFormatting sqref="AB31:AE31">
    <cfRule type="cellIs" priority="9" operator="equal" aboveAverage="0" equalAverage="0" bottom="0" percent="0" rank="0" text="" dxfId="6">
      <formula>0</formula>
    </cfRule>
  </conditionalFormatting>
  <conditionalFormatting sqref="AB30:AE30">
    <cfRule type="cellIs" priority="10" operator="equal" aboveAverage="0" equalAverage="0" bottom="0" percent="0" rank="0" text="" dxfId="6">
      <formula>0</formula>
    </cfRule>
  </conditionalFormatting>
  <conditionalFormatting sqref="AB29:AE29">
    <cfRule type="cellIs" priority="11" operator="equal" aboveAverage="0" equalAverage="0" bottom="0" percent="0" rank="0" text="" dxfId="6">
      <formula>0</formula>
    </cfRule>
  </conditionalFormatting>
  <conditionalFormatting sqref="AB2:AE28 AB32:AE39">
    <cfRule type="cellIs" priority="12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R4" activeCellId="0" sqref="R4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30" width="5.12"/>
    <col collapsed="false" customWidth="true" hidden="false" outlineLevel="0" max="2" min="2" style="30" width="4.5"/>
    <col collapsed="false" customWidth="true" hidden="false" outlineLevel="0" max="3" min="3" style="30" width="69.38"/>
    <col collapsed="false" customWidth="true" hidden="false" outlineLevel="0" max="4" min="4" style="30" width="50.62"/>
    <col collapsed="false" customWidth="true" hidden="false" outlineLevel="0" max="5" min="5" style="30" width="40.12"/>
    <col collapsed="false" customWidth="true" hidden="false" outlineLevel="0" max="6" min="6" style="30" width="4.62"/>
    <col collapsed="false" customWidth="true" hidden="false" outlineLevel="0" max="7" min="7" style="30" width="1.88"/>
    <col collapsed="false" customWidth="true" hidden="false" outlineLevel="0" max="23" min="8" style="30" width="4.62"/>
    <col collapsed="false" customWidth="true" hidden="false" outlineLevel="0" max="24" min="24" style="30" width="1.88"/>
    <col collapsed="false" customWidth="true" hidden="false" outlineLevel="0" max="25" min="25" style="86" width="3.12"/>
  </cols>
  <sheetData>
    <row r="1" s="71" customFormat="true" ht="126.75" hidden="false" customHeight="true" outlineLevel="0" collapsed="false">
      <c r="A1" s="70" t="s">
        <v>19</v>
      </c>
      <c r="B1" s="70" t="s">
        <v>91</v>
      </c>
      <c r="C1" s="71" t="s">
        <v>134</v>
      </c>
      <c r="D1" s="71" t="s">
        <v>135</v>
      </c>
      <c r="E1" s="71" t="s">
        <v>94</v>
      </c>
      <c r="F1" s="87" t="s">
        <v>97</v>
      </c>
      <c r="G1" s="70"/>
      <c r="H1" s="88" t="str">
        <f aca="false">Geral!B1</f>
        <v>Diego Haddad</v>
      </c>
      <c r="I1" s="88" t="str">
        <f aca="false">Geral!C1</f>
        <v>Diego Brandão</v>
      </c>
      <c r="J1" s="88" t="s">
        <v>39</v>
      </c>
      <c r="K1" s="88" t="str">
        <f aca="false">Geral!E1</f>
        <v>Douglas Cardoso</v>
      </c>
      <c r="L1" s="88" t="str">
        <f aca="false">Geral!F1</f>
        <v>Eduardo Bezerra</v>
      </c>
      <c r="M1" s="88" t="str">
        <f aca="false">Geral!G1</f>
        <v>Eduardo Ogasawara</v>
      </c>
      <c r="N1" s="88" t="str">
        <f aca="false">Geral!H1</f>
        <v>Felipe Henriques</v>
      </c>
      <c r="O1" s="88" t="str">
        <f aca="false">Geral!I1</f>
        <v>Glauco Amorim</v>
      </c>
      <c r="P1" s="88" t="str">
        <f aca="false">Geral!J1</f>
        <v>Gustavo Guedes</v>
      </c>
      <c r="Q1" s="88" t="str">
        <f aca="false">Geral!K1</f>
        <v>Joao Quadros </v>
      </c>
      <c r="R1" s="88" t="str">
        <f aca="false">Geral!L1</f>
        <v>Joel dos Santos</v>
      </c>
      <c r="S1" s="88" t="str">
        <f aca="false">Geral!M1</f>
        <v>Jorge Soares</v>
      </c>
      <c r="T1" s="88" t="str">
        <f aca="false">Geral!N1</f>
        <v>Kele Belloze</v>
      </c>
      <c r="U1" s="88" t="str">
        <f aca="false">Geral!O1</f>
        <v>Laura de Assis</v>
      </c>
      <c r="V1" s="88" t="str">
        <f aca="false">Geral!P1</f>
        <v>Pedro Gonzalez</v>
      </c>
      <c r="W1" s="88" t="str">
        <f aca="false">Geral!Q1</f>
        <v>Rafaelli Coutinho</v>
      </c>
      <c r="X1" s="70"/>
      <c r="Y1" s="89" t="s">
        <v>21</v>
      </c>
    </row>
    <row r="2" customFormat="false" ht="15.75" hidden="false" customHeight="true" outlineLevel="0" collapsed="false">
      <c r="A2" s="1" t="n">
        <v>2021</v>
      </c>
      <c r="B2" s="6" t="n">
        <v>1</v>
      </c>
      <c r="C2" s="1" t="s">
        <v>136</v>
      </c>
      <c r="D2" s="1" t="s">
        <v>137</v>
      </c>
      <c r="E2" s="1" t="s">
        <v>138</v>
      </c>
      <c r="F2" s="4" t="n">
        <f aca="false">IF(E2&lt;&gt;"",1,0)</f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 t="n">
        <v>1</v>
      </c>
      <c r="S2" s="5"/>
      <c r="T2" s="5"/>
      <c r="U2" s="5"/>
      <c r="V2" s="5"/>
      <c r="W2" s="5"/>
      <c r="X2" s="1"/>
      <c r="Y2" s="21" t="n">
        <f aca="false">SUM(H2:W2)</f>
        <v>1</v>
      </c>
    </row>
    <row r="3" customFormat="false" ht="15.75" hidden="false" customHeight="true" outlineLevel="0" collapsed="false">
      <c r="A3" s="30" t="n">
        <v>2021</v>
      </c>
      <c r="B3" s="6" t="n">
        <v>2</v>
      </c>
      <c r="C3" s="30" t="s">
        <v>139</v>
      </c>
      <c r="D3" s="30" t="s">
        <v>137</v>
      </c>
      <c r="E3" s="30" t="s">
        <v>140</v>
      </c>
      <c r="F3" s="4" t="n">
        <f aca="false">IF(E3&lt;&gt;"",1,0)</f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 t="n">
        <v>1</v>
      </c>
      <c r="S3" s="4"/>
      <c r="T3" s="4"/>
      <c r="U3" s="4"/>
      <c r="V3" s="4"/>
      <c r="W3" s="4"/>
      <c r="Y3" s="86" t="n">
        <f aca="false">SUM(H3:W3)</f>
        <v>1</v>
      </c>
    </row>
    <row r="4" customFormat="false" ht="15.75" hidden="false" customHeight="true" outlineLevel="0" collapsed="false">
      <c r="A4" s="30" t="n">
        <v>2021</v>
      </c>
      <c r="B4" s="6" t="n">
        <v>3</v>
      </c>
      <c r="C4" s="30" t="s">
        <v>141</v>
      </c>
      <c r="D4" s="30" t="s">
        <v>137</v>
      </c>
      <c r="E4" s="30" t="s">
        <v>142</v>
      </c>
      <c r="F4" s="4" t="n">
        <f aca="false">IF(E4&lt;&gt;"",1,0)</f>
        <v>1</v>
      </c>
      <c r="G4" s="4"/>
      <c r="H4" s="4"/>
      <c r="I4" s="4"/>
      <c r="J4" s="4"/>
      <c r="K4" s="4"/>
      <c r="L4" s="4"/>
      <c r="M4" s="4" t="n">
        <v>1</v>
      </c>
      <c r="N4" s="4"/>
      <c r="O4" s="4"/>
      <c r="P4" s="4"/>
      <c r="Q4" s="4"/>
      <c r="R4" s="4"/>
      <c r="S4" s="4"/>
      <c r="T4" s="4"/>
      <c r="U4" s="4"/>
      <c r="V4" s="4"/>
      <c r="W4" s="4" t="n">
        <v>1</v>
      </c>
      <c r="Y4" s="86" t="n">
        <f aca="false">SUM(H4:W4)</f>
        <v>2</v>
      </c>
    </row>
    <row r="5" customFormat="false" ht="15.75" hidden="false" customHeight="true" outlineLevel="0" collapsed="false">
      <c r="A5" s="30" t="n">
        <v>2021</v>
      </c>
      <c r="B5" s="6" t="n">
        <v>4</v>
      </c>
      <c r="C5" s="30" t="s">
        <v>143</v>
      </c>
      <c r="D5" s="90" t="s">
        <v>144</v>
      </c>
      <c r="F5" s="4" t="n">
        <f aca="false">IF(E5&lt;&gt;"",1,0)</f>
        <v>0</v>
      </c>
      <c r="G5" s="4"/>
      <c r="H5" s="4"/>
      <c r="I5" s="4" t="n"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 t="n">
        <v>1</v>
      </c>
      <c r="Y5" s="86" t="n">
        <f aca="false">SUM(H5:W5)</f>
        <v>2</v>
      </c>
    </row>
    <row r="6" customFormat="false" ht="15.75" hidden="false" customHeight="true" outlineLevel="0" collapsed="false">
      <c r="A6" s="30" t="n">
        <v>2021</v>
      </c>
      <c r="B6" s="6" t="n">
        <v>5</v>
      </c>
      <c r="C6" s="30" t="s">
        <v>145</v>
      </c>
      <c r="D6" s="90" t="s">
        <v>144</v>
      </c>
      <c r="E6" s="86"/>
      <c r="F6" s="4" t="n">
        <f aca="false">IF(E6&lt;&gt;"",1,0)</f>
        <v>0</v>
      </c>
      <c r="G6" s="4"/>
      <c r="H6" s="4"/>
      <c r="I6" s="4"/>
      <c r="J6" s="4"/>
      <c r="K6" s="4"/>
      <c r="L6" s="4" t="n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Y6" s="86" t="n">
        <f aca="false">SUM(H6:W6)</f>
        <v>1</v>
      </c>
    </row>
    <row r="7" customFormat="false" ht="15.75" hidden="false" customHeight="true" outlineLevel="0" collapsed="false">
      <c r="A7" s="30" t="n">
        <v>2021</v>
      </c>
      <c r="B7" s="6" t="n">
        <v>6</v>
      </c>
      <c r="C7" s="30" t="s">
        <v>146</v>
      </c>
      <c r="D7" s="90" t="s">
        <v>144</v>
      </c>
      <c r="E7" s="86"/>
      <c r="F7" s="4" t="n">
        <f aca="false">IF(E7&lt;&gt;"",1,0)</f>
        <v>0</v>
      </c>
      <c r="G7" s="4"/>
      <c r="H7" s="4"/>
      <c r="I7" s="4" t="n"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n">
        <v>1</v>
      </c>
      <c r="Y7" s="86" t="n">
        <f aca="false">SUM(H7:W7)</f>
        <v>2</v>
      </c>
    </row>
    <row r="8" customFormat="false" ht="15.75" hidden="false" customHeight="true" outlineLevel="0" collapsed="false">
      <c r="A8" s="30" t="n">
        <v>2021</v>
      </c>
      <c r="B8" s="6" t="n">
        <v>7</v>
      </c>
      <c r="C8" s="30" t="s">
        <v>147</v>
      </c>
      <c r="D8" s="90" t="s">
        <v>144</v>
      </c>
      <c r="E8" s="86"/>
      <c r="F8" s="4" t="n">
        <f aca="false">IF(E8&lt;&gt;"",1,0)</f>
        <v>0</v>
      </c>
      <c r="G8" s="4"/>
      <c r="H8" s="4"/>
      <c r="I8" s="4"/>
      <c r="J8" s="4"/>
      <c r="K8" s="4"/>
      <c r="L8" s="4"/>
      <c r="M8" s="4" t="n">
        <v>1</v>
      </c>
      <c r="N8" s="4"/>
      <c r="O8" s="4"/>
      <c r="P8" s="4"/>
      <c r="Q8" s="4"/>
      <c r="R8" s="4"/>
      <c r="S8" s="4"/>
      <c r="T8" s="4"/>
      <c r="U8" s="4"/>
      <c r="V8" s="4"/>
      <c r="W8" s="4" t="n">
        <v>1</v>
      </c>
      <c r="Y8" s="86" t="n">
        <f aca="false">SUM(H8:W8)</f>
        <v>2</v>
      </c>
    </row>
    <row r="9" customFormat="false" ht="15.75" hidden="false" customHeight="true" outlineLevel="0" collapsed="false">
      <c r="A9" s="30" t="n">
        <v>2021</v>
      </c>
      <c r="B9" s="6" t="n">
        <v>8</v>
      </c>
      <c r="C9" s="30" t="s">
        <v>148</v>
      </c>
      <c r="D9" s="90" t="s">
        <v>149</v>
      </c>
      <c r="E9" s="30" t="s">
        <v>150</v>
      </c>
      <c r="F9" s="4" t="n">
        <f aca="false">IF(E9&lt;&gt;"",1,0)</f>
        <v>1</v>
      </c>
      <c r="G9" s="4"/>
      <c r="H9" s="4"/>
      <c r="I9" s="4"/>
      <c r="J9" s="4"/>
      <c r="K9" s="4"/>
      <c r="L9" s="4"/>
      <c r="M9" s="4" t="n">
        <v>1</v>
      </c>
      <c r="N9" s="4"/>
      <c r="O9" s="4"/>
      <c r="P9" s="4"/>
      <c r="Q9" s="4"/>
      <c r="R9" s="4"/>
      <c r="S9" s="4"/>
      <c r="T9" s="4"/>
      <c r="U9" s="4"/>
      <c r="V9" s="4"/>
      <c r="W9" s="4"/>
      <c r="Y9" s="86" t="n">
        <f aca="false">SUM(H9:W9)</f>
        <v>1</v>
      </c>
    </row>
  </sheetData>
  <autoFilter ref="A1:Y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2" activeCellId="0" sqref="E2"/>
    </sheetView>
  </sheetViews>
  <sheetFormatPr defaultColWidth="8.87890625" defaultRowHeight="15.75" zeroHeight="false" outlineLevelRow="0" outlineLevelCol="0"/>
  <cols>
    <col collapsed="false" customWidth="true" hidden="false" outlineLevel="0" max="1" min="1" style="30" width="61"/>
    <col collapsed="false" customWidth="true" hidden="false" outlineLevel="0" max="2" min="2" style="30" width="6.12"/>
    <col collapsed="false" customWidth="true" hidden="false" outlineLevel="0" max="3" min="3" style="30" width="2.88"/>
    <col collapsed="false" customWidth="true" hidden="false" outlineLevel="0" max="4" min="4" style="86" width="7.62"/>
    <col collapsed="false" customWidth="true" hidden="false" outlineLevel="0" max="5" min="5" style="31" width="7.62"/>
    <col collapsed="false" customWidth="true" hidden="false" outlineLevel="0" max="6" min="6" style="30" width="1.62"/>
  </cols>
  <sheetData>
    <row r="1" customFormat="false" ht="15.75" hidden="false" customHeight="true" outlineLevel="0" collapsed="false">
      <c r="A1" s="30" t="s">
        <v>73</v>
      </c>
      <c r="B1" s="30" t="s">
        <v>95</v>
      </c>
      <c r="C1" s="30" t="s">
        <v>151</v>
      </c>
      <c r="D1" s="86" t="s">
        <v>59</v>
      </c>
      <c r="E1" s="31" t="s">
        <v>152</v>
      </c>
    </row>
    <row r="2" customFormat="false" ht="15.75" hidden="false" customHeight="true" outlineLevel="0" collapsed="false">
      <c r="A2" s="30" t="s">
        <v>153</v>
      </c>
      <c r="B2" s="30" t="s">
        <v>7</v>
      </c>
      <c r="C2" s="30" t="n">
        <f aca="false">IF(B2&lt;&gt;"NI",1,0)</f>
        <v>1</v>
      </c>
      <c r="D2" s="86" t="n">
        <f aca="false">VLOOKUP(B2,Tabelas!A:C,3,FALSE())</f>
        <v>1</v>
      </c>
      <c r="E2" s="31" t="n">
        <f aca="false">VLOOKUP(B2,Tabelas!A:C,2,FALSE())</f>
        <v>0.875</v>
      </c>
    </row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F70" activeCellId="0" sqref="F70"/>
    </sheetView>
  </sheetViews>
  <sheetFormatPr defaultColWidth="8.87890625" defaultRowHeight="15.75" zeroHeight="false" outlineLevelRow="0" outlineLevelCol="0"/>
  <cols>
    <col collapsed="false" customWidth="true" hidden="false" outlineLevel="0" max="1" min="1" style="30" width="69.12"/>
    <col collapsed="false" customWidth="true" hidden="false" outlineLevel="0" max="2" min="2" style="68" width="5.88"/>
    <col collapsed="false" customWidth="true" hidden="false" outlineLevel="0" max="3" min="3" style="6" width="5.88"/>
    <col collapsed="false" customWidth="true" hidden="false" outlineLevel="0" max="4" min="4" style="91" width="5.88"/>
    <col collapsed="false" customWidth="true" hidden="false" outlineLevel="0" max="5" min="5" style="92" width="5.88"/>
    <col collapsed="false" customWidth="true" hidden="false" outlineLevel="0" max="6" min="6" style="6" width="1.62"/>
    <col collapsed="false" customWidth="true" hidden="false" outlineLevel="0" max="7" min="7" style="93" width="20.12"/>
    <col collapsed="false" customWidth="true" hidden="false" outlineLevel="0" max="8" min="8" style="93" width="11.88"/>
    <col collapsed="false" customWidth="true" hidden="false" outlineLevel="0" max="9" min="9" style="93" width="10.62"/>
    <col collapsed="false" customWidth="true" hidden="false" outlineLevel="0" max="10" min="10" style="6" width="12.12"/>
    <col collapsed="false" customWidth="true" hidden="false" outlineLevel="0" max="11" min="11" style="92" width="9"/>
    <col collapsed="false" customWidth="true" hidden="false" outlineLevel="0" max="12" min="12" style="68" width="10.62"/>
    <col collapsed="false" customWidth="true" hidden="false" outlineLevel="0" max="13" min="13" style="94" width="9"/>
  </cols>
  <sheetData>
    <row r="1" customFormat="false" ht="15.75" hidden="false" customHeight="true" outlineLevel="0" collapsed="false">
      <c r="A1" s="95" t="s">
        <v>24</v>
      </c>
      <c r="B1" s="96" t="s">
        <v>95</v>
      </c>
      <c r="C1" s="97" t="s">
        <v>151</v>
      </c>
      <c r="D1" s="98" t="s">
        <v>59</v>
      </c>
      <c r="E1" s="99" t="s">
        <v>152</v>
      </c>
      <c r="G1" s="100" t="s">
        <v>154</v>
      </c>
      <c r="H1" s="100" t="s">
        <v>155</v>
      </c>
      <c r="I1" s="100" t="s">
        <v>156</v>
      </c>
      <c r="J1" s="100" t="s">
        <v>157</v>
      </c>
      <c r="K1" s="99" t="s">
        <v>158</v>
      </c>
      <c r="L1" s="96" t="s">
        <v>159</v>
      </c>
      <c r="M1" s="101" t="s">
        <v>160</v>
      </c>
    </row>
    <row r="2" customFormat="false" ht="15.75" hidden="false" customHeight="true" outlineLevel="0" collapsed="false">
      <c r="A2" s="83" t="s">
        <v>120</v>
      </c>
      <c r="B2" s="68" t="str">
        <f aca="false">IF(M2&gt;1-1/8,"A1",IF(M2&gt;1-2/8,"A2",IF(M2&gt;1-3/8,"A3",IF(M2&gt;1/2,"A4",IF(M2&gt;1-5/8,"B1",IF(M2&gt;=0.2,"B2",IF(M2&gt;=0.1,"B3",IF(M2&gt;=0.05,"B4","NA"))))))))</f>
        <v>A2</v>
      </c>
      <c r="D2" s="91" t="n">
        <f aca="false">VLOOKUP(B2,Tabelas!A:C,3,FALSE())</f>
        <v>1</v>
      </c>
      <c r="E2" s="92" t="n">
        <f aca="false">VLOOKUP(B2,Tabelas!A:C,2,FALSE())</f>
        <v>0.875</v>
      </c>
      <c r="G2" s="93" t="s">
        <v>161</v>
      </c>
      <c r="J2" s="6" t="s">
        <v>7</v>
      </c>
      <c r="K2" s="92" t="str">
        <f aca="false">IF(H2&gt;1-1/8,"A1",IF(H2&gt;1-2/8,"A2",IF(H2&gt;1-3/8,"A3",IF(H2&gt;1/2,"A4",IF(H2&gt;1-5/8,"B1",IF(H2&gt;1-6/8,"B2",IF(H2&gt;1-7/8,"B3",IF(H2&gt;0,"B4","NA"))))))))</f>
        <v>NA</v>
      </c>
      <c r="L2" s="68" t="str">
        <f aca="false">IF(I2&gt;1-1/8,"A1",IF(I2&gt;1-2/8,"A2",IF(I2&gt;1-3/8,"A3",IF(I2&gt;1/2,"A4",IF(I2&gt;1-5/8,"B1",IF(I2&gt;1-6/8,"B2",IF(I2&gt;1-7/8,"B3",IF(I2&gt;0,"B4","NA"))))))))</f>
        <v>NA</v>
      </c>
      <c r="M2" s="94" t="n">
        <f aca="false">MAX(VLOOKUP(L2,Tabelas!A:C,2,FALSE()),VLOOKUP(J2,Tabelas!A:C,2,FALSE()),VLOOKUP(J2,Tabelas!A:C,2,FALSE()))</f>
        <v>0.875</v>
      </c>
    </row>
    <row r="3" customFormat="false" ht="15.75" hidden="false" customHeight="true" outlineLevel="0" collapsed="false">
      <c r="A3" s="83" t="s">
        <v>120</v>
      </c>
      <c r="B3" s="68" t="str">
        <f aca="false">IF(M3&gt;1-1/8,"A1",IF(M3&gt;1-2/8,"A2",IF(M3&gt;1-3/8,"A3",IF(M3&gt;1/2,"A4",IF(M3&gt;1-5/8,"B1",IF(M3&gt;=0.2,"B2",IF(M3&gt;=0.1,"B3",IF(M3&gt;=0.05,"B4","NA"))))))))</f>
        <v>A2</v>
      </c>
      <c r="D3" s="91" t="n">
        <f aca="false">VLOOKUP(B3,Tabelas!A:C,3,FALSE())</f>
        <v>1</v>
      </c>
      <c r="E3" s="92" t="n">
        <f aca="false">VLOOKUP(B3,Tabelas!A:C,2,FALSE())</f>
        <v>0.875</v>
      </c>
      <c r="G3" s="93" t="s">
        <v>161</v>
      </c>
      <c r="J3" s="6" t="s">
        <v>7</v>
      </c>
      <c r="K3" s="92" t="str">
        <f aca="false">IF(H3&gt;1-1/8,"A1",IF(H3&gt;1-2/8,"A2",IF(H3&gt;1-3/8,"A3",IF(H3&gt;1/2,"A4",IF(H3&gt;1-5/8,"B1",IF(H3&gt;1-6/8,"B2",IF(H3&gt;1-7/8,"B3",IF(H3&gt;0,"B4","NA"))))))))</f>
        <v>NA</v>
      </c>
      <c r="L3" s="68" t="str">
        <f aca="false">IF(I3&gt;1-1/8,"A1",IF(I3&gt;1-2/8,"A2",IF(I3&gt;1-3/8,"A3",IF(I3&gt;1/2,"A4",IF(I3&gt;1-5/8,"B1",IF(I3&gt;1-6/8,"B2",IF(I3&gt;1-7/8,"B3",IF(I3&gt;0,"B4","NA"))))))))</f>
        <v>NA</v>
      </c>
      <c r="M3" s="94" t="n">
        <f aca="false">MAX(VLOOKUP(L3,Tabelas!A:C,2,FALSE()),VLOOKUP(J3,Tabelas!A:C,2,FALSE()),VLOOKUP(J3,Tabelas!A:C,2,FALSE()))</f>
        <v>0.875</v>
      </c>
    </row>
    <row r="4" customFormat="false" ht="15.75" hidden="false" customHeight="true" outlineLevel="0" collapsed="false">
      <c r="A4" s="83" t="s">
        <v>123</v>
      </c>
      <c r="B4" s="68" t="str">
        <f aca="false">IF(M4&gt;1-1/8,"A1",IF(M4&gt;1-2/8,"A2",IF(M4&gt;1-3/8,"A3",IF(M4&gt;1/2,"A4",IF(M4&gt;1-5/8,"B1",IF(M4&gt;=0.2,"B2",IF(M4&gt;=0.1,"B3",IF(M4&gt;=0.05,"B4","NA"))))))))</f>
        <v>A2</v>
      </c>
      <c r="D4" s="91" t="n">
        <f aca="false">VLOOKUP(B4,Tabelas!A:C,3,FALSE())</f>
        <v>1</v>
      </c>
      <c r="E4" s="92" t="n">
        <f aca="false">VLOOKUP(B4,Tabelas!A:C,2,FALSE())</f>
        <v>0.875</v>
      </c>
      <c r="G4" s="93" t="s">
        <v>162</v>
      </c>
      <c r="J4" s="6" t="s">
        <v>7</v>
      </c>
      <c r="K4" s="92" t="str">
        <f aca="false">IF(H4&gt;1-1/8,"A1",IF(H4&gt;1-2/8,"A2",IF(H4&gt;1-3/8,"A3",IF(H4&gt;1/2,"A4",IF(H4&gt;1-5/8,"B1",IF(H4&gt;1-6/8,"B2",IF(H4&gt;1-7/8,"B3",IF(H4&gt;0,"B4","NA"))))))))</f>
        <v>NA</v>
      </c>
      <c r="L4" s="68" t="str">
        <f aca="false">IF(I4&gt;1-1/8,"A1",IF(I4&gt;1-2/8,"A2",IF(I4&gt;1-3/8,"A3",IF(I4&gt;1/2,"A4",IF(I4&gt;1-5/8,"B1",IF(I4&gt;1-6/8,"B2",IF(I4&gt;1-7/8,"B3",IF(I4&gt;0,"B4","NA"))))))))</f>
        <v>NA</v>
      </c>
      <c r="M4" s="94" t="n">
        <f aca="false">MAX(VLOOKUP(L4,Tabelas!A:C,2,FALSE()),VLOOKUP(J4,Tabelas!A:C,2,FALSE()),VLOOKUP(J4,Tabelas!A:C,2,FALSE()))</f>
        <v>0.875</v>
      </c>
    </row>
    <row r="5" customFormat="false" ht="15.75" hidden="false" customHeight="true" outlineLevel="0" collapsed="false">
      <c r="A5" s="83" t="s">
        <v>125</v>
      </c>
      <c r="B5" s="68" t="str">
        <f aca="false">IF(M5&gt;1-1/8,"A1",IF(M5&gt;1-2/8,"A2",IF(M5&gt;1-3/8,"A3",IF(M5&gt;1/2,"A4",IF(M5&gt;1-5/8,"B1",IF(M5&gt;=0.2,"B2",IF(M5&gt;=0.1,"B3",IF(M5&gt;=0.05,"B4","NA"))))))))</f>
        <v>A2</v>
      </c>
      <c r="D5" s="91" t="n">
        <f aca="false">VLOOKUP(B5,Tabelas!A:C,3,FALSE())</f>
        <v>1</v>
      </c>
      <c r="E5" s="92" t="n">
        <f aca="false">VLOOKUP(B5,Tabelas!A:C,2,FALSE())</f>
        <v>0.875</v>
      </c>
      <c r="G5" s="93" t="s">
        <v>163</v>
      </c>
      <c r="J5" s="6" t="s">
        <v>7</v>
      </c>
      <c r="K5" s="92" t="str">
        <f aca="false">IF(H5&gt;1-1/8,"A1",IF(H5&gt;1-2/8,"A2",IF(H5&gt;1-3/8,"A3",IF(H5&gt;1/2,"A4",IF(H5&gt;1-5/8,"B1",IF(H5&gt;1-6/8,"B2",IF(H5&gt;1-7/8,"B3",IF(H5&gt;0,"B4","NA"))))))))</f>
        <v>NA</v>
      </c>
      <c r="L5" s="68" t="str">
        <f aca="false">IF(I5&gt;1-1/8,"A1",IF(I5&gt;1-2/8,"A2",IF(I5&gt;1-3/8,"A3",IF(I5&gt;1/2,"A4",IF(I5&gt;1-5/8,"B1",IF(I5&gt;1-6/8,"B2",IF(I5&gt;1-7/8,"B3",IF(I5&gt;0,"B4","NA"))))))))</f>
        <v>NA</v>
      </c>
      <c r="M5" s="94" t="n">
        <f aca="false">MAX(VLOOKUP(L5,Tabelas!A:C,2,FALSE()),VLOOKUP(J5,Tabelas!A:C,2,FALSE()),VLOOKUP(J5,Tabelas!A:C,2,FALSE()))</f>
        <v>0.875</v>
      </c>
    </row>
    <row r="6" customFormat="false" ht="15.75" hidden="false" customHeight="true" outlineLevel="0" collapsed="false">
      <c r="A6" s="83" t="s">
        <v>127</v>
      </c>
      <c r="B6" s="68" t="str">
        <f aca="false">IF(M6&gt;1-1/8,"A1",IF(M6&gt;1-2/8,"A2",IF(M6&gt;1-3/8,"A3",IF(M6&gt;1/2,"A4",IF(M6&gt;1-5/8,"B1",IF(M6&gt;=0.2,"B2",IF(M6&gt;=0.1,"B3",IF(M6&gt;=0.05,"B4","NA"))))))))</f>
        <v>A3</v>
      </c>
      <c r="D6" s="91" t="n">
        <f aca="false">VLOOKUP(B6,Tabelas!A:C,3,FALSE())</f>
        <v>1</v>
      </c>
      <c r="E6" s="92" t="n">
        <f aca="false">VLOOKUP(B6,Tabelas!A:C,2,FALSE())</f>
        <v>0.75</v>
      </c>
      <c r="G6" s="93" t="s">
        <v>164</v>
      </c>
      <c r="J6" s="6" t="s">
        <v>8</v>
      </c>
      <c r="K6" s="92" t="str">
        <f aca="false">IF(H6&gt;1-1/8,"A1",IF(H6&gt;1-2/8,"A2",IF(H6&gt;1-3/8,"A3",IF(H6&gt;1/2,"A4",IF(H6&gt;1-5/8,"B1",IF(H6&gt;1-6/8,"B2",IF(H6&gt;1-7/8,"B3",IF(H6&gt;0,"B4","NA"))))))))</f>
        <v>NA</v>
      </c>
      <c r="L6" s="68" t="str">
        <f aca="false">IF(I6&gt;1-1/8,"A1",IF(I6&gt;1-2/8,"A2",IF(I6&gt;1-3/8,"A3",IF(I6&gt;1/2,"A4",IF(I6&gt;1-5/8,"B1",IF(I6&gt;1-6/8,"B2",IF(I6&gt;1-7/8,"B3",IF(I6&gt;0,"B4","NA"))))))))</f>
        <v>NA</v>
      </c>
      <c r="M6" s="94" t="n">
        <f aca="false">MAX(VLOOKUP(L6,Tabelas!A:C,2,FALSE()),VLOOKUP(J6,Tabelas!A:C,2,FALSE()),VLOOKUP(J6,Tabelas!A:C,2,FALSE()))</f>
        <v>0.75</v>
      </c>
    </row>
    <row r="7" customFormat="false" ht="15.75" hidden="false" customHeight="true" outlineLevel="0" collapsed="false">
      <c r="A7" s="83" t="s">
        <v>129</v>
      </c>
      <c r="B7" s="68" t="str">
        <f aca="false">IF(M7&gt;1-1/8,"A1",IF(M7&gt;1-2/8,"A2",IF(M7&gt;1-3/8,"A3",IF(M7&gt;1/2,"A4",IF(M7&gt;1-5/8,"B1",IF(M7&gt;=0.2,"B2",IF(M7&gt;=0.1,"B3",IF(M7&gt;=0.05,"B4","NA"))))))))</f>
        <v>NA</v>
      </c>
      <c r="D7" s="91" t="n">
        <f aca="false">VLOOKUP(B7,Tabelas!A:C,3,FALSE())</f>
        <v>0</v>
      </c>
      <c r="E7" s="92" t="n">
        <f aca="false">VLOOKUP(B7,Tabelas!A:C,2,FALSE())</f>
        <v>0</v>
      </c>
      <c r="G7" s="93" t="s">
        <v>165</v>
      </c>
      <c r="J7" s="6" t="s">
        <v>14</v>
      </c>
      <c r="K7" s="92" t="str">
        <f aca="false">IF(H7&gt;1-1/8,"A1",IF(H7&gt;1-2/8,"A2",IF(H7&gt;1-3/8,"A3",IF(H7&gt;1/2,"A4",IF(H7&gt;1-5/8,"B1",IF(H7&gt;1-6/8,"B2",IF(H7&gt;1-7/8,"B3",IF(H7&gt;0,"B4","NA"))))))))</f>
        <v>NA</v>
      </c>
      <c r="L7" s="68" t="str">
        <f aca="false">IF(I7&gt;1-1/8,"A1",IF(I7&gt;1-2/8,"A2",IF(I7&gt;1-3/8,"A3",IF(I7&gt;1/2,"A4",IF(I7&gt;1-5/8,"B1",IF(I7&gt;1-6/8,"B2",IF(I7&gt;1-7/8,"B3",IF(I7&gt;0,"B4","NA"))))))))</f>
        <v>NA</v>
      </c>
      <c r="M7" s="94" t="n">
        <f aca="false">MAX(VLOOKUP(L7,Tabelas!A:C,2,FALSE()),VLOOKUP(J7,Tabelas!A:C,2,FALSE()),VLOOKUP(J7,Tabelas!A:C,2,FALSE()))</f>
        <v>0</v>
      </c>
    </row>
    <row r="8" customFormat="false" ht="15.75" hidden="false" customHeight="true" outlineLevel="0" collapsed="false">
      <c r="A8" s="83" t="s">
        <v>131</v>
      </c>
      <c r="B8" s="68" t="str">
        <f aca="false">IF(M8&gt;1-1/8,"A1",IF(M8&gt;1-2/8,"A2",IF(M8&gt;1-3/8,"A3",IF(M8&gt;1/2,"A4",IF(M8&gt;1-5/8,"B1",IF(M8&gt;=0.2,"B2",IF(M8&gt;=0.1,"B3",IF(M8&gt;=0.05,"B4","NA"))))))))</f>
        <v>A1</v>
      </c>
      <c r="D8" s="91" t="n">
        <f aca="false">VLOOKUP(B8,Tabelas!A:C,3,FALSE())</f>
        <v>1</v>
      </c>
      <c r="E8" s="92" t="n">
        <f aca="false">VLOOKUP(B8,Tabelas!A:C,2,FALSE())</f>
        <v>1</v>
      </c>
      <c r="G8" s="93" t="s">
        <v>166</v>
      </c>
      <c r="J8" s="6" t="s">
        <v>6</v>
      </c>
      <c r="K8" s="92" t="str">
        <f aca="false">IF(H8&gt;1-1/8,"A1",IF(H8&gt;1-2/8,"A2",IF(H8&gt;1-3/8,"A3",IF(H8&gt;1/2,"A4",IF(H8&gt;1-5/8,"B1",IF(H8&gt;1-6/8,"B2",IF(H8&gt;1-7/8,"B3",IF(H8&gt;0,"B4","NA"))))))))</f>
        <v>NA</v>
      </c>
      <c r="L8" s="68" t="str">
        <f aca="false">IF(I8&gt;1-1/8,"A1",IF(I8&gt;1-2/8,"A2",IF(I8&gt;1-3/8,"A3",IF(I8&gt;1/2,"A4",IF(I8&gt;1-5/8,"B1",IF(I8&gt;1-6/8,"B2",IF(I8&gt;1-7/8,"B3",IF(I8&gt;0,"B4","NA"))))))))</f>
        <v>NA</v>
      </c>
      <c r="M8" s="94" t="n">
        <f aca="false">MAX(VLOOKUP(L8,Tabelas!A:C,2,FALSE()),VLOOKUP(J8,Tabelas!A:C,2,FALSE()),VLOOKUP(J8,Tabelas!A:C,2,FALSE()))</f>
        <v>1</v>
      </c>
    </row>
    <row r="9" customFormat="false" ht="15.75" hidden="false" customHeight="true" outlineLevel="0" collapsed="false">
      <c r="A9" s="30" t="s">
        <v>133</v>
      </c>
      <c r="B9" s="68" t="str">
        <f aca="false">IF(M9&gt;1-1/8,"A1",IF(M9&gt;1-2/8,"A2",IF(M9&gt;1-3/8,"A3",IF(M9&gt;1/2,"A4",IF(M9&gt;1-5/8,"B1",IF(M9&gt;=0.2,"B2",IF(M9&gt;=0.1,"B3",IF(M9&gt;=0.05,"B4","NA"))))))))</f>
        <v>A1</v>
      </c>
      <c r="D9" s="91" t="n">
        <f aca="false">VLOOKUP(B9,Tabelas!A:C,3,FALSE())</f>
        <v>1</v>
      </c>
      <c r="E9" s="92" t="n">
        <f aca="false">VLOOKUP(B9,Tabelas!A:C,2,FALSE())</f>
        <v>1</v>
      </c>
      <c r="G9" s="93" t="s">
        <v>167</v>
      </c>
      <c r="J9" s="6" t="s">
        <v>6</v>
      </c>
      <c r="K9" s="92" t="str">
        <f aca="false">IF(H9&gt;1-1/8,"A1",IF(H9&gt;1-2/8,"A2",IF(H9&gt;1-3/8,"A3",IF(H9&gt;1/2,"A4",IF(H9&gt;1-5/8,"B1",IF(H9&gt;1-6/8,"B2",IF(H9&gt;1-7/8,"B3",IF(H9&gt;0,"B4","NA"))))))))</f>
        <v>NA</v>
      </c>
      <c r="L9" s="68" t="str">
        <f aca="false">IF(I9&gt;1-1/8,"A1",IF(I9&gt;1-2/8,"A2",IF(I9&gt;1-3/8,"A3",IF(I9&gt;1/2,"A4",IF(I9&gt;1-5/8,"B1",IF(I9&gt;1-6/8,"B2",IF(I9&gt;1-7/8,"B3",IF(I9&gt;0,"B4","NA"))))))))</f>
        <v>NA</v>
      </c>
      <c r="M9" s="94" t="n">
        <f aca="false">MAX(VLOOKUP(L9,Tabelas!A:C,2,FALSE()),VLOOKUP(J9,Tabelas!A:C,2,FALSE()),VLOOKUP(J9,Tabelas!A:C,2,FALSE()))</f>
        <v>1</v>
      </c>
    </row>
  </sheetData>
  <autoFilter ref="A1:M1">
    <sortState ref="A2:M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00390625" defaultRowHeight="15.75" zeroHeight="false" outlineLevelRow="0" outlineLevelCol="0"/>
  <cols>
    <col collapsed="false" customWidth="false" hidden="false" outlineLevel="0" max="2" min="2" style="102" width="11"/>
    <col collapsed="false" customWidth="false" hidden="false" outlineLevel="0" max="3" min="3" style="86" width="11"/>
    <col collapsed="false" customWidth="false" hidden="false" outlineLevel="0" max="5" min="5" style="102" width="11"/>
  </cols>
  <sheetData>
    <row r="1" customFormat="false" ht="15.75" hidden="false" customHeight="true" outlineLevel="0" collapsed="false">
      <c r="A1" s="30" t="s">
        <v>95</v>
      </c>
      <c r="B1" s="102" t="s">
        <v>168</v>
      </c>
      <c r="C1" s="86" t="s">
        <v>59</v>
      </c>
    </row>
    <row r="2" customFormat="false" ht="15.75" hidden="false" customHeight="true" outlineLevel="0" collapsed="false">
      <c r="A2" s="30" t="s">
        <v>6</v>
      </c>
      <c r="B2" s="102" t="n">
        <v>1</v>
      </c>
      <c r="C2" s="86" t="n">
        <v>1</v>
      </c>
      <c r="D2" s="30" t="n">
        <v>0</v>
      </c>
      <c r="E2" s="102" t="n">
        <f aca="false">1-D2/8</f>
        <v>1</v>
      </c>
    </row>
    <row r="3" customFormat="false" ht="15.75" hidden="false" customHeight="true" outlineLevel="0" collapsed="false">
      <c r="A3" s="30" t="s">
        <v>7</v>
      </c>
      <c r="B3" s="102" t="n">
        <v>0.875</v>
      </c>
      <c r="C3" s="86" t="n">
        <v>1</v>
      </c>
      <c r="D3" s="30" t="n">
        <v>1</v>
      </c>
      <c r="E3" s="102" t="n">
        <f aca="false">1-D3/8</f>
        <v>0.875</v>
      </c>
    </row>
    <row r="4" customFormat="false" ht="15.75" hidden="false" customHeight="true" outlineLevel="0" collapsed="false">
      <c r="A4" s="30" t="s">
        <v>8</v>
      </c>
      <c r="B4" s="102" t="n">
        <v>0.75</v>
      </c>
      <c r="C4" s="86" t="n">
        <v>1</v>
      </c>
      <c r="D4" s="30" t="n">
        <v>2</v>
      </c>
      <c r="E4" s="102" t="n">
        <f aca="false">1-D4/8</f>
        <v>0.75</v>
      </c>
    </row>
    <row r="5" customFormat="false" ht="15.75" hidden="false" customHeight="true" outlineLevel="0" collapsed="false">
      <c r="A5" s="30" t="s">
        <v>9</v>
      </c>
      <c r="B5" s="102" t="n">
        <v>0.625</v>
      </c>
      <c r="C5" s="86" t="n">
        <v>1</v>
      </c>
      <c r="D5" s="30" t="n">
        <v>3</v>
      </c>
      <c r="E5" s="102" t="n">
        <f aca="false">1-D5/8</f>
        <v>0.625</v>
      </c>
    </row>
    <row r="6" customFormat="false" ht="15.75" hidden="false" customHeight="true" outlineLevel="0" collapsed="false">
      <c r="A6" s="30" t="s">
        <v>10</v>
      </c>
      <c r="B6" s="102" t="n">
        <v>0.5</v>
      </c>
      <c r="C6" s="86" t="n">
        <v>0</v>
      </c>
      <c r="D6" s="30" t="n">
        <v>4</v>
      </c>
      <c r="E6" s="102" t="n">
        <f aca="false">1-D6/8</f>
        <v>0.5</v>
      </c>
    </row>
    <row r="7" customFormat="false" ht="15.75" hidden="false" customHeight="true" outlineLevel="0" collapsed="false">
      <c r="A7" s="30" t="s">
        <v>11</v>
      </c>
      <c r="B7" s="102" t="n">
        <v>0.2</v>
      </c>
      <c r="C7" s="86" t="n">
        <v>0</v>
      </c>
      <c r="D7" s="30" t="n">
        <v>5</v>
      </c>
      <c r="E7" s="102" t="n">
        <v>0.2</v>
      </c>
    </row>
    <row r="8" customFormat="false" ht="15.75" hidden="false" customHeight="true" outlineLevel="0" collapsed="false">
      <c r="A8" s="30" t="s">
        <v>12</v>
      </c>
      <c r="B8" s="102" t="n">
        <v>0.1</v>
      </c>
      <c r="C8" s="86" t="n">
        <v>0</v>
      </c>
      <c r="D8" s="30" t="n">
        <v>6</v>
      </c>
      <c r="E8" s="102" t="n">
        <v>0.1</v>
      </c>
    </row>
    <row r="9" customFormat="false" ht="15.75" hidden="false" customHeight="true" outlineLevel="0" collapsed="false">
      <c r="A9" s="30" t="s">
        <v>13</v>
      </c>
      <c r="B9" s="102" t="n">
        <v>0.05</v>
      </c>
      <c r="C9" s="86" t="n">
        <v>0</v>
      </c>
      <c r="D9" s="30" t="n">
        <v>7</v>
      </c>
      <c r="E9" s="102" t="n">
        <v>0.05</v>
      </c>
    </row>
    <row r="10" customFormat="false" ht="15.75" hidden="false" customHeight="true" outlineLevel="0" collapsed="false">
      <c r="A10" s="30" t="s">
        <v>169</v>
      </c>
      <c r="B10" s="102" t="n">
        <v>0</v>
      </c>
      <c r="C10" s="86" t="n">
        <v>0</v>
      </c>
      <c r="D10" s="30" t="n">
        <v>8</v>
      </c>
      <c r="E10" s="102" t="n">
        <v>0</v>
      </c>
    </row>
    <row r="11" customFormat="false" ht="15.75" hidden="false" customHeight="true" outlineLevel="0" collapsed="false">
      <c r="A11" s="30" t="s">
        <v>170</v>
      </c>
      <c r="B11" s="102" t="n">
        <v>0</v>
      </c>
      <c r="C11" s="86" t="n">
        <v>0</v>
      </c>
      <c r="D11" s="30" t="n">
        <v>9</v>
      </c>
      <c r="E11" s="102" t="n">
        <v>0</v>
      </c>
    </row>
    <row r="12" customFormat="false" ht="15.75" hidden="false" customHeight="true" outlineLevel="0" collapsed="false">
      <c r="A12" s="30" t="s">
        <v>15</v>
      </c>
      <c r="B12" s="102" t="n">
        <v>0</v>
      </c>
      <c r="C12" s="86" t="n">
        <v>0</v>
      </c>
      <c r="D12" s="30" t="n">
        <v>10</v>
      </c>
      <c r="E12" s="102" t="n">
        <v>0</v>
      </c>
    </row>
    <row r="13" customFormat="false" ht="15.75" hidden="false" customHeight="true" outlineLevel="0" collapsed="false">
      <c r="A13" s="30" t="s">
        <v>14</v>
      </c>
      <c r="B13" s="102" t="n">
        <v>0</v>
      </c>
      <c r="C13" s="86" t="n">
        <v>0</v>
      </c>
      <c r="D13" s="30" t="n">
        <v>11</v>
      </c>
      <c r="E13" s="102" t="n">
        <v>0</v>
      </c>
    </row>
    <row r="20" customFormat="false" ht="15.75" hidden="false" customHeight="true" outlineLevel="0" collapsed="false">
      <c r="I20" s="30" t="n">
        <f aca="false">VLOOKUP("NI",Tabelas!A:C,2,FALSE())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Z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87890625" defaultRowHeight="15.75" zeroHeight="false" outlineLevelRow="0" outlineLevelCol="0"/>
  <cols>
    <col collapsed="false" customWidth="true" hidden="false" outlineLevel="0" max="1" min="1" style="30" width="1.62"/>
    <col collapsed="false" customWidth="true" hidden="false" outlineLevel="0" max="2" min="2" style="103" width="24.12"/>
    <col collapsed="false" customWidth="true" hidden="false" outlineLevel="0" max="3" min="3" style="103" width="10.12"/>
    <col collapsed="false" customWidth="true" hidden="false" outlineLevel="0" max="4" min="4" style="103" width="9.12"/>
    <col collapsed="false" customWidth="true" hidden="false" outlineLevel="0" max="6" min="5" style="103" width="9"/>
    <col collapsed="false" customWidth="true" hidden="false" outlineLevel="0" max="7" min="7" style="103" width="9.12"/>
    <col collapsed="false" customWidth="true" hidden="false" outlineLevel="0" max="10" min="8" style="103" width="9"/>
    <col collapsed="false" customWidth="true" hidden="false" outlineLevel="0" max="11" min="11" style="30" width="1.62"/>
    <col collapsed="false" customWidth="true" hidden="false" outlineLevel="0" max="12" min="12" style="30" width="34"/>
    <col collapsed="false" customWidth="true" hidden="false" outlineLevel="0" max="13" min="13" style="30" width="13.62"/>
    <col collapsed="false" customWidth="true" hidden="false" outlineLevel="0" max="14" min="14" style="104" width="13.62"/>
    <col collapsed="false" customWidth="true" hidden="false" outlineLevel="0" max="15" min="15" style="30" width="1.62"/>
    <col collapsed="false" customWidth="true" hidden="false" outlineLevel="0" max="16" min="16" style="30" width="34"/>
    <col collapsed="false" customWidth="true" hidden="false" outlineLevel="0" max="17" min="17" style="30" width="13.62"/>
    <col collapsed="false" customWidth="true" hidden="false" outlineLevel="0" max="18" min="18" style="104" width="13.62"/>
    <col collapsed="false" customWidth="true" hidden="false" outlineLevel="0" max="19" min="19" style="30" width="1.62"/>
    <col collapsed="false" customWidth="true" hidden="false" outlineLevel="0" max="20" min="20" style="30" width="40.12"/>
    <col collapsed="false" customWidth="true" hidden="false" outlineLevel="0" max="21" min="21" style="30" width="13.62"/>
    <col collapsed="false" customWidth="true" hidden="false" outlineLevel="0" max="22" min="22" style="104" width="13.62"/>
    <col collapsed="false" customWidth="true" hidden="false" outlineLevel="0" max="23" min="23" style="30" width="1.62"/>
    <col collapsed="false" customWidth="true" hidden="false" outlineLevel="0" max="24" min="24" style="30" width="40.12"/>
    <col collapsed="false" customWidth="true" hidden="false" outlineLevel="0" max="25" min="25" style="30" width="13.62"/>
    <col collapsed="false" customWidth="true" hidden="false" outlineLevel="0" max="26" min="26" style="104" width="13.62"/>
    <col collapsed="false" customWidth="true" hidden="false" outlineLevel="0" max="27" min="27" style="30" width="1.62"/>
  </cols>
  <sheetData>
    <row r="1" customFormat="false" ht="15.75" hidden="false" customHeight="true" outlineLevel="0" collapsed="false">
      <c r="L1" s="30" t="s">
        <v>171</v>
      </c>
      <c r="P1" s="30" t="s">
        <v>172</v>
      </c>
      <c r="T1" s="30" t="s">
        <v>173</v>
      </c>
      <c r="X1" s="30" t="s">
        <v>174</v>
      </c>
    </row>
    <row r="2" customFormat="false" ht="15.75" hidden="false" customHeight="true" outlineLevel="0" collapsed="false">
      <c r="B2" s="105" t="s">
        <v>175</v>
      </c>
      <c r="C2" s="106" t="s">
        <v>176</v>
      </c>
      <c r="D2" s="106" t="s">
        <v>100</v>
      </c>
      <c r="E2" s="106" t="s">
        <v>177</v>
      </c>
      <c r="F2" s="106" t="s">
        <v>178</v>
      </c>
      <c r="G2" s="106" t="s">
        <v>25</v>
      </c>
      <c r="L2" s="30" t="s">
        <v>59</v>
      </c>
      <c r="M2" s="30" t="s">
        <v>179</v>
      </c>
      <c r="P2" s="30" t="s">
        <v>59</v>
      </c>
      <c r="Q2" s="107" t="n">
        <v>1</v>
      </c>
      <c r="T2" s="30" t="s">
        <v>59</v>
      </c>
      <c r="U2" s="30" t="s">
        <v>179</v>
      </c>
      <c r="X2" s="30" t="s">
        <v>59</v>
      </c>
      <c r="Y2" s="107" t="n">
        <v>1</v>
      </c>
    </row>
    <row r="3" customFormat="false" ht="15.75" hidden="false" customHeight="true" outlineLevel="0" collapsed="false">
      <c r="B3" s="108" t="s">
        <v>180</v>
      </c>
      <c r="C3" s="108" t="n">
        <v>24</v>
      </c>
      <c r="D3" s="108" t="n">
        <v>43</v>
      </c>
      <c r="E3" s="108" t="n">
        <v>50</v>
      </c>
      <c r="F3" s="108" t="n">
        <v>57</v>
      </c>
      <c r="G3" s="108" t="n">
        <f aca="false">F3</f>
        <v>57</v>
      </c>
    </row>
    <row r="4" customFormat="false" ht="15.75" hidden="false" customHeight="true" outlineLevel="0" collapsed="false">
      <c r="B4" s="109" t="s">
        <v>181</v>
      </c>
      <c r="C4" s="110" t="n">
        <v>0</v>
      </c>
      <c r="D4" s="110" t="n">
        <v>3</v>
      </c>
      <c r="E4" s="110" t="n">
        <v>11</v>
      </c>
      <c r="F4" s="110" t="n">
        <v>20</v>
      </c>
      <c r="G4" s="110" t="n">
        <f aca="false">SUM(C4:F4)</f>
        <v>34</v>
      </c>
      <c r="L4" s="30" t="s">
        <v>182</v>
      </c>
      <c r="M4" s="30" t="s">
        <v>183</v>
      </c>
      <c r="N4" s="111" t="s">
        <v>184</v>
      </c>
      <c r="P4" s="30" t="s">
        <v>182</v>
      </c>
      <c r="Q4" s="30" t="s">
        <v>183</v>
      </c>
      <c r="R4" s="111" t="s">
        <v>185</v>
      </c>
      <c r="T4" s="30" t="s">
        <v>182</v>
      </c>
      <c r="U4" s="30" t="s">
        <v>183</v>
      </c>
      <c r="V4" s="111" t="s">
        <v>186</v>
      </c>
      <c r="X4" s="30" t="s">
        <v>182</v>
      </c>
      <c r="Y4" s="30" t="s">
        <v>183</v>
      </c>
      <c r="Z4" s="111" t="s">
        <v>187</v>
      </c>
    </row>
    <row r="5" customFormat="false" ht="15.75" hidden="false" customHeight="true" outlineLevel="0" collapsed="false">
      <c r="B5" s="112" t="s">
        <v>188</v>
      </c>
      <c r="C5" s="112" t="n">
        <f aca="false">C3+C4</f>
        <v>24</v>
      </c>
      <c r="D5" s="112" t="n">
        <f aca="false">D3+D4</f>
        <v>46</v>
      </c>
      <c r="E5" s="112" t="n">
        <f aca="false">E3+E4</f>
        <v>61</v>
      </c>
      <c r="F5" s="112" t="n">
        <f aca="false">F3+F4</f>
        <v>77</v>
      </c>
      <c r="G5" s="112" t="n">
        <f aca="false">G3+G4</f>
        <v>91</v>
      </c>
      <c r="L5" s="107" t="s">
        <v>189</v>
      </c>
      <c r="M5" s="30" t="n">
        <v>1</v>
      </c>
      <c r="N5" s="104" t="n">
        <f aca="false">IF(ISNA(VLOOKUP(L5,T:T,1,FALSE())),1,0.5)</f>
        <v>1</v>
      </c>
      <c r="P5" s="107" t="s">
        <v>189</v>
      </c>
      <c r="Q5" s="30" t="n">
        <v>1</v>
      </c>
      <c r="R5" s="104" t="n">
        <f aca="false">IF(ISNA(VLOOKUP(P5,X:X,1,FALSE())),1,0.5)</f>
        <v>1</v>
      </c>
      <c r="T5" s="107" t="s">
        <v>190</v>
      </c>
      <c r="U5" s="30" t="n">
        <v>1</v>
      </c>
      <c r="V5" s="104" t="n">
        <f aca="false">IF(ISNA(VLOOKUP(T5,L:L,1,FALSE())),1,0.5)</f>
        <v>1</v>
      </c>
      <c r="X5" s="107" t="s">
        <v>191</v>
      </c>
      <c r="Y5" s="30" t="n">
        <v>1</v>
      </c>
      <c r="Z5" s="104" t="n">
        <f aca="false">IF(ISNA(VLOOKUP(X5,P:P,1,FALSE())),1,0.5)</f>
        <v>1</v>
      </c>
    </row>
    <row r="6" customFormat="false" ht="15.75" hidden="false" customHeight="true" outlineLevel="0" collapsed="false">
      <c r="L6" s="107" t="s">
        <v>192</v>
      </c>
      <c r="M6" s="30" t="n">
        <v>1</v>
      </c>
      <c r="N6" s="104" t="n">
        <f aca="false">IF(ISNA(VLOOKUP(L6,T:T,1,FALSE())),1,0.5)</f>
        <v>0.5</v>
      </c>
      <c r="P6" s="107" t="s">
        <v>192</v>
      </c>
      <c r="Q6" s="30" t="n">
        <v>1</v>
      </c>
      <c r="R6" s="104" t="n">
        <f aca="false">IF(ISNA(VLOOKUP(P6,X:X,1,FALSE())),1,0.5)</f>
        <v>0.5</v>
      </c>
      <c r="T6" s="107" t="s">
        <v>193</v>
      </c>
      <c r="U6" s="30" t="n">
        <v>1</v>
      </c>
      <c r="V6" s="104" t="n">
        <f aca="false">IF(ISNA(VLOOKUP(T6,L:L,1,FALSE())),1,0.5)</f>
        <v>1</v>
      </c>
      <c r="X6" s="107" t="s">
        <v>194</v>
      </c>
      <c r="Y6" s="30" t="n">
        <v>1</v>
      </c>
      <c r="Z6" s="104" t="n">
        <f aca="false">IF(ISNA(VLOOKUP(X6,P:P,1,FALSE())),1,0.5)</f>
        <v>1</v>
      </c>
    </row>
    <row r="7" customFormat="false" ht="15.75" hidden="false" customHeight="true" outlineLevel="0" collapsed="false">
      <c r="B7" s="113" t="s">
        <v>195</v>
      </c>
      <c r="C7" s="114" t="s">
        <v>25</v>
      </c>
      <c r="L7" s="107" t="s">
        <v>196</v>
      </c>
      <c r="M7" s="30" t="n">
        <v>3</v>
      </c>
      <c r="N7" s="104" t="n">
        <f aca="false">IF(ISNA(VLOOKUP(L7,T:T,1,FALSE())),1,0.5)</f>
        <v>1</v>
      </c>
      <c r="P7" s="107" t="s">
        <v>196</v>
      </c>
      <c r="Q7" s="30" t="n">
        <v>1</v>
      </c>
      <c r="R7" s="104" t="n">
        <f aca="false">IF(ISNA(VLOOKUP(P7,X:X,1,FALSE())),1,0.5)</f>
        <v>1</v>
      </c>
      <c r="T7" s="107" t="s">
        <v>191</v>
      </c>
      <c r="U7" s="30" t="n">
        <v>1</v>
      </c>
      <c r="V7" s="104" t="n">
        <f aca="false">IF(ISNA(VLOOKUP(T7,L:L,1,FALSE())),1,0.5)</f>
        <v>1</v>
      </c>
      <c r="X7" s="107" t="s">
        <v>197</v>
      </c>
      <c r="Y7" s="30" t="n">
        <v>1</v>
      </c>
      <c r="Z7" s="104" t="n">
        <f aca="false">IF(ISNA(VLOOKUP(X7,P:P,1,FALSE())),1,0.5)</f>
        <v>1</v>
      </c>
    </row>
    <row r="8" customFormat="false" ht="15.75" hidden="false" customHeight="true" outlineLevel="0" collapsed="false">
      <c r="B8" s="115" t="s">
        <v>180</v>
      </c>
      <c r="C8" s="116" t="n">
        <f aca="false">G3</f>
        <v>57</v>
      </c>
      <c r="L8" s="107" t="s">
        <v>198</v>
      </c>
      <c r="M8" s="30" t="n">
        <v>1</v>
      </c>
      <c r="N8" s="104" t="n">
        <f aca="false">IF(ISNA(VLOOKUP(L8,T:T,1,FALSE())),1,0.5)</f>
        <v>0.5</v>
      </c>
      <c r="P8" s="107" t="s">
        <v>198</v>
      </c>
      <c r="Q8" s="30" t="n">
        <v>1</v>
      </c>
      <c r="R8" s="104" t="n">
        <f aca="false">IF(ISNA(VLOOKUP(P8,X:X,1,FALSE())),1,0.5)</f>
        <v>1</v>
      </c>
      <c r="T8" s="107" t="s">
        <v>199</v>
      </c>
      <c r="U8" s="30" t="n">
        <v>3</v>
      </c>
      <c r="V8" s="104" t="n">
        <f aca="false">IF(ISNA(VLOOKUP(T8,L:L,1,FALSE())),1,0.5)</f>
        <v>1</v>
      </c>
      <c r="X8" s="107" t="s">
        <v>200</v>
      </c>
      <c r="Y8" s="30" t="n">
        <v>1</v>
      </c>
      <c r="Z8" s="104" t="n">
        <f aca="false">IF(ISNA(VLOOKUP(X8,P:P,1,FALSE())),1,0.5)</f>
        <v>1</v>
      </c>
    </row>
    <row r="9" customFormat="false" ht="15.75" hidden="false" customHeight="true" outlineLevel="0" collapsed="false">
      <c r="B9" s="109" t="s">
        <v>181</v>
      </c>
      <c r="C9" s="110" t="n">
        <f aca="false">G4</f>
        <v>34</v>
      </c>
      <c r="L9" s="107" t="s">
        <v>201</v>
      </c>
      <c r="M9" s="30" t="n">
        <v>1</v>
      </c>
      <c r="N9" s="104" t="n">
        <f aca="false">IF(ISNA(VLOOKUP(L9,T:T,1,FALSE())),1,0.5)</f>
        <v>1</v>
      </c>
      <c r="P9" s="107" t="s">
        <v>201</v>
      </c>
      <c r="Q9" s="30" t="n">
        <v>1</v>
      </c>
      <c r="R9" s="104" t="n">
        <f aca="false">IF(ISNA(VLOOKUP(P9,X:X,1,FALSE())),1,0.5)</f>
        <v>1</v>
      </c>
      <c r="T9" s="107" t="s">
        <v>142</v>
      </c>
      <c r="U9" s="30" t="n">
        <v>1</v>
      </c>
      <c r="V9" s="104" t="n">
        <f aca="false">IF(ISNA(VLOOKUP(T9,L:L,1,FALSE())),1,0.5)</f>
        <v>1</v>
      </c>
      <c r="X9" s="107" t="s">
        <v>202</v>
      </c>
      <c r="Y9" s="30" t="n">
        <v>2</v>
      </c>
      <c r="Z9" s="104" t="n">
        <f aca="false">IF(ISNA(VLOOKUP(X9,P:P,1,FALSE())),1,0.5)</f>
        <v>1</v>
      </c>
    </row>
    <row r="10" customFormat="false" ht="15.75" hidden="false" customHeight="true" outlineLevel="0" collapsed="false">
      <c r="B10" s="115" t="s">
        <v>188</v>
      </c>
      <c r="C10" s="116" t="n">
        <f aca="false">G5</f>
        <v>91</v>
      </c>
      <c r="L10" s="107" t="s">
        <v>203</v>
      </c>
      <c r="M10" s="30" t="n">
        <v>1</v>
      </c>
      <c r="N10" s="104" t="n">
        <f aca="false">IF(ISNA(VLOOKUP(L10,T:T,1,FALSE())),1,0.5)</f>
        <v>0.5</v>
      </c>
      <c r="P10" s="107" t="s">
        <v>204</v>
      </c>
      <c r="Q10" s="30" t="n">
        <v>1</v>
      </c>
      <c r="R10" s="104" t="n">
        <f aca="false">IF(ISNA(VLOOKUP(P10,X:X,1,FALSE())),1,0.5)</f>
        <v>0.5</v>
      </c>
      <c r="T10" s="107" t="s">
        <v>194</v>
      </c>
      <c r="U10" s="30" t="n">
        <v>1</v>
      </c>
      <c r="V10" s="104" t="n">
        <f aca="false">IF(ISNA(VLOOKUP(T10,L:L,1,FALSE())),1,0.5)</f>
        <v>1</v>
      </c>
      <c r="X10" s="107" t="s">
        <v>205</v>
      </c>
      <c r="Y10" s="30" t="n">
        <v>1</v>
      </c>
      <c r="Z10" s="104" t="n">
        <f aca="false">IF(ISNA(VLOOKUP(X10,P:P,1,FALSE())),1,0.5)</f>
        <v>1</v>
      </c>
    </row>
    <row r="11" customFormat="false" ht="15.75" hidden="false" customHeight="true" outlineLevel="0" collapsed="false">
      <c r="B11" s="109" t="s">
        <v>206</v>
      </c>
      <c r="C11" s="109" t="n">
        <f aca="false">COUNT(U7:U102)</f>
        <v>36</v>
      </c>
      <c r="L11" s="107" t="s">
        <v>204</v>
      </c>
      <c r="M11" s="30" t="n">
        <v>1</v>
      </c>
      <c r="N11" s="104" t="n">
        <f aca="false">IF(ISNA(VLOOKUP(L11,T:T,1,FALSE())),1,0.5)</f>
        <v>0.5</v>
      </c>
      <c r="P11" s="107" t="s">
        <v>207</v>
      </c>
      <c r="Q11" s="30" t="n">
        <v>1</v>
      </c>
      <c r="R11" s="104" t="n">
        <f aca="false">IF(ISNA(VLOOKUP(P11,X:X,1,FALSE())),1,0.5)</f>
        <v>1</v>
      </c>
      <c r="T11" s="107" t="s">
        <v>208</v>
      </c>
      <c r="U11" s="30" t="n">
        <v>4</v>
      </c>
      <c r="V11" s="104" t="n">
        <f aca="false">IF(ISNA(VLOOKUP(T11,L:L,1,FALSE())),1,0.5)</f>
        <v>1</v>
      </c>
      <c r="X11" s="107" t="s">
        <v>192</v>
      </c>
      <c r="Y11" s="30" t="n">
        <v>1</v>
      </c>
      <c r="Z11" s="104" t="n">
        <f aca="false">IF(ISNA(VLOOKUP(X11,P:P,1,FALSE())),1,0.5)</f>
        <v>0.5</v>
      </c>
    </row>
    <row r="12" customFormat="false" ht="15.75" hidden="false" customHeight="true" outlineLevel="0" collapsed="false">
      <c r="B12" s="115" t="s">
        <v>209</v>
      </c>
      <c r="C12" s="115" t="n">
        <f aca="false">COUNT(Y5:Y100)</f>
        <v>21</v>
      </c>
      <c r="L12" s="107" t="s">
        <v>207</v>
      </c>
      <c r="M12" s="30" t="n">
        <v>1</v>
      </c>
      <c r="N12" s="104" t="n">
        <f aca="false">IF(ISNA(VLOOKUP(L12,T:T,1,FALSE())),1,0.5)</f>
        <v>1</v>
      </c>
      <c r="P12" s="107" t="s">
        <v>210</v>
      </c>
      <c r="Q12" s="30" t="n">
        <v>2</v>
      </c>
      <c r="R12" s="104" t="n">
        <f aca="false">IF(ISNA(VLOOKUP(P12,X:X,1,FALSE())),1,0.5)</f>
        <v>0.5</v>
      </c>
      <c r="T12" s="107" t="s">
        <v>211</v>
      </c>
      <c r="U12" s="30" t="n">
        <v>2</v>
      </c>
      <c r="V12" s="104" t="n">
        <f aca="false">IF(ISNA(VLOOKUP(T12,L:L,1,FALSE())),1,0.5)</f>
        <v>1</v>
      </c>
      <c r="X12" s="107" t="s">
        <v>212</v>
      </c>
      <c r="Y12" s="30" t="n">
        <v>1</v>
      </c>
      <c r="Z12" s="104" t="n">
        <f aca="false">IF(ISNA(VLOOKUP(X12,P:P,1,FALSE())),1,0.5)</f>
        <v>1</v>
      </c>
    </row>
    <row r="13" customFormat="false" ht="15.75" hidden="false" customHeight="true" outlineLevel="0" collapsed="false">
      <c r="B13" s="109" t="s">
        <v>213</v>
      </c>
      <c r="C13" s="110" t="n">
        <f aca="false">COUNT(M5:M100)</f>
        <v>12</v>
      </c>
      <c r="L13" s="107" t="s">
        <v>210</v>
      </c>
      <c r="M13" s="30" t="n">
        <v>2</v>
      </c>
      <c r="N13" s="104" t="n">
        <f aca="false">IF(ISNA(VLOOKUP(L13,T:T,1,FALSE())),1,0.5)</f>
        <v>0.5</v>
      </c>
      <c r="P13" s="107" t="s">
        <v>214</v>
      </c>
      <c r="Q13" s="30" t="n">
        <v>2</v>
      </c>
      <c r="R13" s="104" t="n">
        <f aca="false">IF(ISNA(VLOOKUP(P13,X:X,1,FALSE())),1,0.5)</f>
        <v>0.5</v>
      </c>
      <c r="T13" s="107" t="s">
        <v>215</v>
      </c>
      <c r="U13" s="30" t="n">
        <v>1</v>
      </c>
      <c r="V13" s="104" t="n">
        <f aca="false">IF(ISNA(VLOOKUP(T13,L:L,1,FALSE())),1,0.5)</f>
        <v>1</v>
      </c>
      <c r="X13" s="107" t="s">
        <v>216</v>
      </c>
      <c r="Y13" s="30" t="n">
        <v>1</v>
      </c>
      <c r="Z13" s="104" t="n">
        <f aca="false">IF(ISNA(VLOOKUP(X13,P:P,1,FALSE())),1,0.5)</f>
        <v>1</v>
      </c>
    </row>
    <row r="14" customFormat="false" ht="15.75" hidden="false" customHeight="true" outlineLevel="0" collapsed="false">
      <c r="B14" s="115" t="s">
        <v>217</v>
      </c>
      <c r="C14" s="116" t="n">
        <f aca="false">COUNT(Q5:Q100)</f>
        <v>10</v>
      </c>
      <c r="L14" s="107" t="s">
        <v>214</v>
      </c>
      <c r="M14" s="30" t="n">
        <v>3</v>
      </c>
      <c r="N14" s="104" t="n">
        <f aca="false">IF(ISNA(VLOOKUP(L14,T:T,1,FALSE())),1,0.5)</f>
        <v>0.5</v>
      </c>
      <c r="P14" s="107" t="s">
        <v>218</v>
      </c>
      <c r="Q14" s="30" t="n">
        <v>1</v>
      </c>
      <c r="R14" s="104" t="n">
        <f aca="false">IF(ISNA(VLOOKUP(P14,X:X,1,FALSE())),1,0.5)</f>
        <v>1</v>
      </c>
      <c r="T14" s="107" t="s">
        <v>197</v>
      </c>
      <c r="U14" s="30" t="n">
        <v>1</v>
      </c>
      <c r="V14" s="104" t="n">
        <f aca="false">IF(ISNA(VLOOKUP(T14,L:L,1,FALSE())),1,0.5)</f>
        <v>1</v>
      </c>
      <c r="X14" s="107" t="s">
        <v>219</v>
      </c>
      <c r="Y14" s="30" t="n">
        <v>3</v>
      </c>
      <c r="Z14" s="104" t="n">
        <f aca="false">IF(ISNA(VLOOKUP(X14,P:P,1,FALSE())),1,0.5)</f>
        <v>1</v>
      </c>
    </row>
    <row r="15" customFormat="false" ht="15.75" hidden="false" customHeight="true" outlineLevel="0" collapsed="false">
      <c r="B15" s="109" t="s">
        <v>220</v>
      </c>
      <c r="C15" s="110" t="n">
        <f aca="false">SUM(N5:N100)+SUM(V5:V100)</f>
        <v>42</v>
      </c>
      <c r="L15" s="107" t="s">
        <v>221</v>
      </c>
      <c r="M15" s="30" t="n">
        <v>1</v>
      </c>
      <c r="N15" s="104" t="n">
        <f aca="false">IF(ISNA(VLOOKUP(L15,T:T,1,FALSE())),1,0.5)</f>
        <v>0.5</v>
      </c>
      <c r="T15" s="107" t="s">
        <v>222</v>
      </c>
      <c r="U15" s="30" t="n">
        <v>1</v>
      </c>
      <c r="V15" s="104" t="n">
        <f aca="false">IF(ISNA(VLOOKUP(T15,L:L,1,FALSE())),1,0.5)</f>
        <v>1</v>
      </c>
      <c r="X15" s="107" t="s">
        <v>223</v>
      </c>
      <c r="Y15" s="30" t="n">
        <v>1</v>
      </c>
      <c r="Z15" s="104" t="n">
        <f aca="false">IF(ISNA(VLOOKUP(X15,P:P,1,FALSE())),1,0.5)</f>
        <v>1</v>
      </c>
    </row>
    <row r="16" customFormat="false" ht="15.75" hidden="false" customHeight="true" outlineLevel="0" collapsed="false">
      <c r="B16" s="115" t="s">
        <v>224</v>
      </c>
      <c r="C16" s="116" t="n">
        <f aca="false">SUM(R5:R100)+SUM(Z5:Z100)</f>
        <v>27</v>
      </c>
      <c r="L16" s="107" t="s">
        <v>218</v>
      </c>
      <c r="M16" s="30" t="n">
        <v>1</v>
      </c>
      <c r="N16" s="104" t="n">
        <f aca="false">IF(ISNA(VLOOKUP(L16,T:T,1,FALSE())),1,0.5)</f>
        <v>0.5</v>
      </c>
      <c r="T16" s="107" t="s">
        <v>200</v>
      </c>
      <c r="U16" s="30" t="n">
        <v>1</v>
      </c>
      <c r="V16" s="104" t="n">
        <f aca="false">IF(ISNA(VLOOKUP(T16,L:L,1,FALSE())),1,0.5)</f>
        <v>1</v>
      </c>
      <c r="X16" s="107" t="s">
        <v>225</v>
      </c>
      <c r="Y16" s="30" t="n">
        <v>1</v>
      </c>
      <c r="Z16" s="104" t="n">
        <f aca="false">IF(ISNA(VLOOKUP(X16,P:P,1,FALSE())),1,0.5)</f>
        <v>1</v>
      </c>
    </row>
    <row r="17" customFormat="false" ht="15.75" hidden="false" customHeight="true" outlineLevel="0" collapsed="false">
      <c r="B17" s="109" t="s">
        <v>226</v>
      </c>
      <c r="C17" s="117" t="n">
        <f aca="false">C15/C$10</f>
        <v>0.461538461538462</v>
      </c>
      <c r="T17" s="107" t="s">
        <v>227</v>
      </c>
      <c r="U17" s="30" t="n">
        <v>2</v>
      </c>
      <c r="V17" s="104" t="n">
        <f aca="false">IF(ISNA(VLOOKUP(T17,L:L,1,FALSE())),1,0.5)</f>
        <v>1</v>
      </c>
      <c r="X17" s="107" t="s">
        <v>228</v>
      </c>
      <c r="Y17" s="30" t="n">
        <v>1</v>
      </c>
      <c r="Z17" s="104" t="n">
        <f aca="false">IF(ISNA(VLOOKUP(X17,P:P,1,FALSE())),1,0.5)</f>
        <v>1</v>
      </c>
    </row>
    <row r="18" customFormat="false" ht="15.75" hidden="false" customHeight="true" outlineLevel="0" collapsed="false">
      <c r="B18" s="112" t="s">
        <v>229</v>
      </c>
      <c r="C18" s="118" t="n">
        <f aca="false">C16/C$10</f>
        <v>0.296703296703297</v>
      </c>
      <c r="T18" s="107" t="s">
        <v>202</v>
      </c>
      <c r="U18" s="30" t="n">
        <v>5</v>
      </c>
      <c r="V18" s="104" t="n">
        <f aca="false">IF(ISNA(VLOOKUP(T18,L:L,1,FALSE())),1,0.5)</f>
        <v>1</v>
      </c>
      <c r="X18" s="107" t="s">
        <v>230</v>
      </c>
      <c r="Y18" s="30" t="n">
        <v>1</v>
      </c>
      <c r="Z18" s="104" t="n">
        <f aca="false">IF(ISNA(VLOOKUP(X18,P:P,1,FALSE())),1,0.5)</f>
        <v>1</v>
      </c>
    </row>
    <row r="19" customFormat="false" ht="15.75" hidden="false" customHeight="true" outlineLevel="0" collapsed="false">
      <c r="T19" s="107" t="s">
        <v>231</v>
      </c>
      <c r="U19" s="30" t="n">
        <v>2</v>
      </c>
      <c r="V19" s="104" t="n">
        <f aca="false">IF(ISNA(VLOOKUP(T19,L:L,1,FALSE())),1,0.5)</f>
        <v>1</v>
      </c>
      <c r="X19" s="107" t="s">
        <v>204</v>
      </c>
      <c r="Y19" s="30" t="n">
        <v>3</v>
      </c>
      <c r="Z19" s="104" t="n">
        <f aca="false">IF(ISNA(VLOOKUP(X19,P:P,1,FALSE())),1,0.5)</f>
        <v>0.5</v>
      </c>
    </row>
    <row r="20" customFormat="false" ht="15.75" hidden="false" customHeight="true" outlineLevel="0" collapsed="false">
      <c r="B20" s="105"/>
      <c r="C20" s="105" t="s">
        <v>232</v>
      </c>
      <c r="D20" s="105" t="s">
        <v>233</v>
      </c>
      <c r="E20" s="105" t="s">
        <v>234</v>
      </c>
      <c r="F20" s="105" t="s">
        <v>235</v>
      </c>
      <c r="T20" s="107" t="s">
        <v>205</v>
      </c>
      <c r="U20" s="30" t="n">
        <v>4</v>
      </c>
      <c r="V20" s="104" t="n">
        <f aca="false">IF(ISNA(VLOOKUP(T20,L:L,1,FALSE())),1,0.5)</f>
        <v>1</v>
      </c>
      <c r="X20" s="107" t="s">
        <v>236</v>
      </c>
      <c r="Y20" s="30" t="n">
        <v>1</v>
      </c>
      <c r="Z20" s="104" t="n">
        <f aca="false">IF(ISNA(VLOOKUP(X20,P:P,1,FALSE())),1,0.5)</f>
        <v>1</v>
      </c>
    </row>
    <row r="21" customFormat="false" ht="15.75" hidden="false" customHeight="true" outlineLevel="0" collapsed="false">
      <c r="B21" s="108" t="s">
        <v>237</v>
      </c>
      <c r="C21" s="119" t="n">
        <v>0.46</v>
      </c>
      <c r="D21" s="119" t="n">
        <v>0.35</v>
      </c>
      <c r="E21" s="119" t="n">
        <v>0.61</v>
      </c>
      <c r="F21" s="119" t="n">
        <v>0.7</v>
      </c>
      <c r="T21" s="107" t="s">
        <v>192</v>
      </c>
      <c r="U21" s="30" t="n">
        <v>3</v>
      </c>
      <c r="V21" s="104" t="n">
        <f aca="false">IF(ISNA(VLOOKUP(T21,L:L,1,FALSE())),1,0.5)</f>
        <v>0.5</v>
      </c>
      <c r="X21" s="107" t="s">
        <v>210</v>
      </c>
      <c r="Y21" s="30" t="n">
        <v>5</v>
      </c>
      <c r="Z21" s="104" t="n">
        <f aca="false">IF(ISNA(VLOOKUP(X21,P:P,1,FALSE())),1,0.5)</f>
        <v>0.5</v>
      </c>
    </row>
    <row r="22" customFormat="false" ht="15.75" hidden="false" customHeight="true" outlineLevel="0" collapsed="false">
      <c r="B22" s="120" t="s">
        <v>238</v>
      </c>
      <c r="C22" s="121" t="n">
        <v>0.37</v>
      </c>
      <c r="D22" s="121" t="n">
        <v>0.29</v>
      </c>
      <c r="E22" s="121" t="n">
        <v>0.55</v>
      </c>
      <c r="F22" s="121" t="n">
        <v>0.65</v>
      </c>
      <c r="T22" s="107" t="s">
        <v>239</v>
      </c>
      <c r="U22" s="30" t="n">
        <v>1</v>
      </c>
      <c r="V22" s="104" t="n">
        <f aca="false">IF(ISNA(VLOOKUP(T22,L:L,1,FALSE())),1,0.5)</f>
        <v>1</v>
      </c>
      <c r="X22" s="107" t="s">
        <v>214</v>
      </c>
      <c r="Y22" s="30" t="n">
        <v>1</v>
      </c>
      <c r="Z22" s="104" t="n">
        <f aca="false">IF(ISNA(VLOOKUP(X22,P:P,1,FALSE())),1,0.5)</f>
        <v>0.5</v>
      </c>
    </row>
    <row r="23" customFormat="false" ht="15.75" hidden="false" customHeight="true" outlineLevel="0" collapsed="false">
      <c r="T23" s="107" t="s">
        <v>212</v>
      </c>
      <c r="U23" s="30" t="n">
        <v>6</v>
      </c>
      <c r="V23" s="104" t="n">
        <f aca="false">IF(ISNA(VLOOKUP(T23,L:L,1,FALSE())),1,0.5)</f>
        <v>1</v>
      </c>
      <c r="X23" s="107" t="s">
        <v>240</v>
      </c>
      <c r="Y23" s="30" t="n">
        <v>1</v>
      </c>
      <c r="Z23" s="104" t="n">
        <f aca="false">IF(ISNA(VLOOKUP(X23,P:P,1,FALSE())),1,0.5)</f>
        <v>1</v>
      </c>
    </row>
    <row r="24" customFormat="false" ht="15.75" hidden="false" customHeight="true" outlineLevel="0" collapsed="false">
      <c r="B24" s="105" t="s">
        <v>241</v>
      </c>
      <c r="C24" s="122" t="s">
        <v>6</v>
      </c>
      <c r="D24" s="122" t="s">
        <v>7</v>
      </c>
      <c r="E24" s="122" t="s">
        <v>8</v>
      </c>
      <c r="F24" s="122" t="s">
        <v>9</v>
      </c>
      <c r="G24" s="122" t="s">
        <v>10</v>
      </c>
      <c r="H24" s="122" t="s">
        <v>11</v>
      </c>
      <c r="I24" s="122" t="s">
        <v>12</v>
      </c>
      <c r="J24" s="122" t="s">
        <v>13</v>
      </c>
      <c r="T24" s="107" t="s">
        <v>216</v>
      </c>
      <c r="U24" s="30" t="n">
        <v>1</v>
      </c>
      <c r="V24" s="104" t="n">
        <f aca="false">IF(ISNA(VLOOKUP(T24,L:L,1,FALSE())),1,0.5)</f>
        <v>1</v>
      </c>
      <c r="X24" s="107" t="s">
        <v>242</v>
      </c>
      <c r="Y24" s="30" t="n">
        <v>1</v>
      </c>
      <c r="Z24" s="104" t="n">
        <f aca="false">IF(ISNA(VLOOKUP(X24,P:P,1,FALSE())),1,0.5)</f>
        <v>1</v>
      </c>
    </row>
    <row r="25" customFormat="false" ht="15.75" hidden="false" customHeight="true" outlineLevel="0" collapsed="false">
      <c r="B25" s="108" t="s">
        <v>23</v>
      </c>
      <c r="C25" s="123" t="n">
        <f aca="false">COUNTIFS(Conferencias!$F:$F,C24)</f>
        <v>0</v>
      </c>
      <c r="D25" s="123" t="n">
        <f aca="false">COUNTIFS(Conferencias!$F:$F,D24)</f>
        <v>0</v>
      </c>
      <c r="E25" s="123" t="n">
        <f aca="false">COUNTIFS(Conferencias!$F:$F,E24)</f>
        <v>0</v>
      </c>
      <c r="F25" s="123" t="n">
        <f aca="false">COUNTIFS(Conferencias!$F:$F,F24)</f>
        <v>0</v>
      </c>
      <c r="G25" s="123" t="n">
        <f aca="false">COUNTIFS(Conferencias!$F:$F,G24)</f>
        <v>0</v>
      </c>
      <c r="H25" s="123" t="n">
        <f aca="false">COUNTIFS(Conferencias!$F:$F,H24)</f>
        <v>0</v>
      </c>
      <c r="I25" s="123" t="n">
        <f aca="false">COUNTIFS(Conferencias!$F:$F,I24)</f>
        <v>0</v>
      </c>
      <c r="J25" s="123" t="n">
        <f aca="false">COUNTIFS(Conferencias!$F:$F,J24)</f>
        <v>0</v>
      </c>
      <c r="T25" s="107" t="s">
        <v>219</v>
      </c>
      <c r="U25" s="30" t="n">
        <v>5</v>
      </c>
      <c r="V25" s="104" t="n">
        <f aca="false">IF(ISNA(VLOOKUP(T25,L:L,1,FALSE())),1,0.5)</f>
        <v>1</v>
      </c>
      <c r="X25" s="107" t="s">
        <v>243</v>
      </c>
      <c r="Y25" s="30" t="n">
        <v>1</v>
      </c>
      <c r="Z25" s="104" t="n">
        <f aca="false">IF(ISNA(VLOOKUP(X25,P:P,1,FALSE())),1,0.5)</f>
        <v>1</v>
      </c>
    </row>
    <row r="26" customFormat="false" ht="15.75" hidden="false" customHeight="true" outlineLevel="0" collapsed="false">
      <c r="B26" s="120" t="s">
        <v>24</v>
      </c>
      <c r="C26" s="124" t="n">
        <f aca="false">COUNTIFS(Periodicos!$F:$F,C24)</f>
        <v>2</v>
      </c>
      <c r="D26" s="124" t="n">
        <f aca="false">COUNTIFS(Periodicos!$F:$F,D24)</f>
        <v>4</v>
      </c>
      <c r="E26" s="124" t="n">
        <f aca="false">COUNTIFS(Periodicos!$F:$F,E24)</f>
        <v>1</v>
      </c>
      <c r="F26" s="124" t="n">
        <f aca="false">COUNTIFS(Periodicos!$F:$F,F24)</f>
        <v>0</v>
      </c>
      <c r="G26" s="124" t="n">
        <f aca="false">COUNTIFS(Periodicos!$F:$F,G24)</f>
        <v>0</v>
      </c>
      <c r="H26" s="124" t="n">
        <f aca="false">COUNTIFS(Periodicos!$F:$F,H24)</f>
        <v>0</v>
      </c>
      <c r="I26" s="124" t="n">
        <f aca="false">COUNTIFS(Periodicos!$F:$F,I24)</f>
        <v>0</v>
      </c>
      <c r="J26" s="124" t="n">
        <f aca="false">COUNTIFS(Periodicos!$F:$F,J24)</f>
        <v>0</v>
      </c>
      <c r="T26" s="107" t="s">
        <v>198</v>
      </c>
      <c r="U26" s="30" t="n">
        <v>1</v>
      </c>
      <c r="V26" s="104" t="n">
        <f aca="false">IF(ISNA(VLOOKUP(T26,L:L,1,FALSE())),1,0.5)</f>
        <v>0.5</v>
      </c>
    </row>
    <row r="27" customFormat="false" ht="15.75" hidden="false" customHeight="true" outlineLevel="0" collapsed="false">
      <c r="B27" s="109" t="s">
        <v>21</v>
      </c>
      <c r="C27" s="125" t="n">
        <f aca="false">Geral!S2</f>
        <v>6.5</v>
      </c>
      <c r="D27" s="126"/>
      <c r="E27" s="126"/>
      <c r="F27" s="126"/>
      <c r="G27" s="126"/>
      <c r="H27" s="126"/>
      <c r="I27" s="126"/>
      <c r="J27" s="126"/>
      <c r="T27" s="107" t="s">
        <v>223</v>
      </c>
      <c r="U27" s="30" t="n">
        <v>2</v>
      </c>
      <c r="V27" s="104" t="n">
        <f aca="false">IF(ISNA(VLOOKUP(T27,L:L,1,FALSE())),1,0.5)</f>
        <v>1</v>
      </c>
    </row>
    <row r="28" customFormat="false" ht="15.75" hidden="false" customHeight="true" outlineLevel="0" collapsed="false">
      <c r="T28" s="107" t="s">
        <v>225</v>
      </c>
      <c r="U28" s="30" t="n">
        <v>1</v>
      </c>
      <c r="V28" s="104" t="n">
        <f aca="false">IF(ISNA(VLOOKUP(T28,L:L,1,FALSE())),1,0.5)</f>
        <v>1</v>
      </c>
    </row>
    <row r="29" customFormat="false" ht="15.75" hidden="false" customHeight="true" outlineLevel="0" collapsed="false">
      <c r="B29" s="105"/>
      <c r="C29" s="105" t="s">
        <v>244</v>
      </c>
      <c r="D29" s="105" t="s">
        <v>245</v>
      </c>
      <c r="T29" s="107" t="s">
        <v>228</v>
      </c>
      <c r="U29" s="30" t="n">
        <v>1</v>
      </c>
      <c r="V29" s="104" t="n">
        <f aca="false">IF(ISNA(VLOOKUP(T29,L:L,1,FALSE())),1,0.5)</f>
        <v>1</v>
      </c>
    </row>
    <row r="30" customFormat="false" ht="15.75" hidden="false" customHeight="true" outlineLevel="0" collapsed="false">
      <c r="B30" s="108" t="s">
        <v>246</v>
      </c>
      <c r="C30" s="127" t="n">
        <f aca="false">(C26*1+D26*0.85+E26*0.7+(F26+G26)*0.5+H26*0.2+I26*0.1+J26*0.05)/C$27</f>
        <v>0.938461538461539</v>
      </c>
      <c r="D30" s="127" t="n">
        <f aca="false">(C26*1+D26*0.875+E26*0.75+F26*0.625+G26*0.5+H26*0.2+I26*0.1+J26*0.05)/C$27</f>
        <v>0.961538461538462</v>
      </c>
      <c r="T30" s="107" t="s">
        <v>203</v>
      </c>
      <c r="U30" s="30" t="n">
        <v>4</v>
      </c>
      <c r="V30" s="104" t="n">
        <f aca="false">IF(ISNA(VLOOKUP(T30,L:L,1,FALSE())),1,0.5)</f>
        <v>0.5</v>
      </c>
    </row>
    <row r="31" customFormat="false" ht="15.75" hidden="false" customHeight="true" outlineLevel="0" collapsed="false">
      <c r="B31" s="109" t="s">
        <v>247</v>
      </c>
      <c r="C31" s="128" t="n">
        <f aca="false">(C26*1+D26*0.85+E26*0.7)/C$27</f>
        <v>0.938461538461539</v>
      </c>
      <c r="D31" s="128" t="n">
        <f aca="false">(C26*1+D26*0.875+E26*0.75+F26*0.625)/C$27</f>
        <v>0.961538461538462</v>
      </c>
      <c r="T31" s="107" t="s">
        <v>230</v>
      </c>
      <c r="U31" s="30" t="n">
        <v>1</v>
      </c>
      <c r="V31" s="104" t="n">
        <f aca="false">IF(ISNA(VLOOKUP(T31,L:L,1,FALSE())),1,0.5)</f>
        <v>1</v>
      </c>
    </row>
    <row r="32" customFormat="false" ht="15.75" hidden="false" customHeight="true" outlineLevel="0" collapsed="false">
      <c r="B32" s="115" t="s">
        <v>248</v>
      </c>
      <c r="C32" s="129" t="n">
        <f aca="false">(C25*1+D25*0.85+E25*0.7+(F25+G25)*0.5+H25*0.2+I25*0.1+J25*0.05)/C$27</f>
        <v>0</v>
      </c>
      <c r="D32" s="129" t="n">
        <f aca="false">(C25*1+D25*0.875+E25*0.75+F25*0.625+G25*0.5+H25*0.2+I25*0.1+J25*0.05)/C$27</f>
        <v>0</v>
      </c>
      <c r="T32" s="107" t="s">
        <v>204</v>
      </c>
      <c r="U32" s="30" t="n">
        <v>9</v>
      </c>
      <c r="V32" s="104" t="n">
        <f aca="false">IF(ISNA(VLOOKUP(T32,L:L,1,FALSE())),1,0.5)</f>
        <v>0.5</v>
      </c>
    </row>
    <row r="33" customFormat="false" ht="15.75" hidden="false" customHeight="true" outlineLevel="0" collapsed="false">
      <c r="B33" s="109" t="s">
        <v>249</v>
      </c>
      <c r="C33" s="128" t="n">
        <f aca="false">(C25*1+D25*0.85+E25*0.7)/C$27</f>
        <v>0</v>
      </c>
      <c r="D33" s="128" t="n">
        <f aca="false">(C25*1+D25*0.875+E25*0.75+F25*0.625)/C$27</f>
        <v>0</v>
      </c>
      <c r="T33" s="107" t="s">
        <v>236</v>
      </c>
      <c r="U33" s="30" t="n">
        <v>1</v>
      </c>
      <c r="V33" s="104" t="n">
        <f aca="false">IF(ISNA(VLOOKUP(T33,L:L,1,FALSE())),1,0.5)</f>
        <v>1</v>
      </c>
    </row>
    <row r="34" customFormat="false" ht="15.75" hidden="false" customHeight="true" outlineLevel="0" collapsed="false">
      <c r="B34" s="115" t="s">
        <v>250</v>
      </c>
      <c r="C34" s="129" t="n">
        <f aca="false">C30+C32</f>
        <v>0.938461538461539</v>
      </c>
      <c r="D34" s="129" t="n">
        <f aca="false">D30+D32</f>
        <v>0.961538461538462</v>
      </c>
      <c r="T34" s="107" t="s">
        <v>251</v>
      </c>
      <c r="U34" s="30" t="n">
        <v>1</v>
      </c>
      <c r="V34" s="104" t="n">
        <f aca="false">IF(ISNA(VLOOKUP(T34,L:L,1,FALSE())),1,0.5)</f>
        <v>1</v>
      </c>
    </row>
    <row r="35" customFormat="false" ht="15.75" hidden="false" customHeight="true" outlineLevel="0" collapsed="false">
      <c r="B35" s="120" t="s">
        <v>252</v>
      </c>
      <c r="C35" s="130" t="n">
        <f aca="false">C31+C33</f>
        <v>0.938461538461539</v>
      </c>
      <c r="D35" s="130" t="n">
        <f aca="false">D31+D33</f>
        <v>0.961538461538462</v>
      </c>
      <c r="T35" s="107" t="s">
        <v>210</v>
      </c>
      <c r="U35" s="30" t="n">
        <v>6</v>
      </c>
      <c r="V35" s="104" t="n">
        <f aca="false">IF(ISNA(VLOOKUP(T35,L:L,1,FALSE())),1,0.5)</f>
        <v>0.5</v>
      </c>
    </row>
    <row r="36" customFormat="false" ht="15.75" hidden="false" customHeight="true" outlineLevel="0" collapsed="false">
      <c r="T36" s="107" t="s">
        <v>214</v>
      </c>
      <c r="U36" s="30" t="n">
        <v>3</v>
      </c>
      <c r="V36" s="104" t="n">
        <f aca="false">IF(ISNA(VLOOKUP(T36,L:L,1,FALSE())),1,0.5)</f>
        <v>0.5</v>
      </c>
    </row>
    <row r="37" customFormat="false" ht="15.75" hidden="false" customHeight="true" outlineLevel="0" collapsed="false">
      <c r="B37" s="105"/>
      <c r="C37" s="105" t="s">
        <v>232</v>
      </c>
      <c r="D37" s="105" t="s">
        <v>233</v>
      </c>
      <c r="E37" s="105" t="s">
        <v>234</v>
      </c>
      <c r="F37" s="105" t="s">
        <v>235</v>
      </c>
      <c r="T37" s="107" t="s">
        <v>240</v>
      </c>
      <c r="U37" s="30" t="n">
        <v>1</v>
      </c>
      <c r="V37" s="104" t="n">
        <f aca="false">IF(ISNA(VLOOKUP(T37,L:L,1,FALSE())),1,0.5)</f>
        <v>1</v>
      </c>
    </row>
    <row r="38" customFormat="false" ht="15.75" hidden="false" customHeight="true" outlineLevel="0" collapsed="false">
      <c r="B38" s="108" t="s">
        <v>250</v>
      </c>
      <c r="C38" s="127" t="n">
        <f aca="false">C34</f>
        <v>0.938461538461539</v>
      </c>
      <c r="D38" s="127" t="n">
        <v>4</v>
      </c>
      <c r="E38" s="127" t="n">
        <v>6</v>
      </c>
      <c r="F38" s="127" t="n">
        <v>7.4</v>
      </c>
      <c r="T38" s="107" t="s">
        <v>221</v>
      </c>
      <c r="U38" s="30" t="n">
        <v>1</v>
      </c>
      <c r="V38" s="104" t="n">
        <f aca="false">IF(ISNA(VLOOKUP(T38,L:L,1,FALSE())),1,0.5)</f>
        <v>0.5</v>
      </c>
    </row>
    <row r="39" customFormat="false" ht="15.75" hidden="false" customHeight="true" outlineLevel="0" collapsed="false">
      <c r="B39" s="120" t="s">
        <v>252</v>
      </c>
      <c r="C39" s="130" t="n">
        <f aca="false">C35</f>
        <v>0.938461538461539</v>
      </c>
      <c r="D39" s="130" t="n">
        <v>2.8</v>
      </c>
      <c r="E39" s="130" t="n">
        <v>4.2</v>
      </c>
      <c r="F39" s="130" t="n">
        <v>6</v>
      </c>
      <c r="T39" s="107" t="s">
        <v>253</v>
      </c>
      <c r="U39" s="30" t="n">
        <v>2</v>
      </c>
      <c r="V39" s="104" t="n">
        <f aca="false">IF(ISNA(VLOOKUP(T39,L:L,1,FALSE())),1,0.5)</f>
        <v>1</v>
      </c>
    </row>
    <row r="40" customFormat="false" ht="15.75" hidden="false" customHeight="true" outlineLevel="0" collapsed="false">
      <c r="T40" s="107" t="s">
        <v>242</v>
      </c>
      <c r="U40" s="30" t="n">
        <v>1</v>
      </c>
      <c r="V40" s="104" t="n">
        <f aca="false">IF(ISNA(VLOOKUP(T40,L:L,1,FALSE())),1,0.5)</f>
        <v>1</v>
      </c>
    </row>
    <row r="41" customFormat="false" ht="15.75" hidden="false" customHeight="true" outlineLevel="0" collapsed="false">
      <c r="T41" s="107" t="s">
        <v>243</v>
      </c>
      <c r="U41" s="30" t="n">
        <v>1</v>
      </c>
      <c r="V41" s="104" t="n">
        <f aca="false">IF(ISNA(VLOOKUP(T41,L:L,1,FALSE())),1,0.5)</f>
        <v>1</v>
      </c>
    </row>
    <row r="42" customFormat="false" ht="15.75" hidden="false" customHeight="true" outlineLevel="0" collapsed="false">
      <c r="B42" s="105"/>
      <c r="C42" s="131" t="s">
        <v>254</v>
      </c>
      <c r="D42" s="131" t="s">
        <v>58</v>
      </c>
      <c r="E42" s="105" t="s">
        <v>255</v>
      </c>
      <c r="T42" s="107" t="s">
        <v>218</v>
      </c>
      <c r="U42" s="30" t="n">
        <v>1</v>
      </c>
      <c r="V42" s="104" t="n">
        <f aca="false">IF(ISNA(VLOOKUP(T42,L:L,1,FALSE())),1,0.5)</f>
        <v>0.5</v>
      </c>
    </row>
    <row r="43" customFormat="false" ht="15.75" hidden="false" customHeight="true" outlineLevel="0" collapsed="false">
      <c r="B43" s="108" t="s">
        <v>250</v>
      </c>
      <c r="C43" s="132" t="n">
        <f aca="false">COUNTIFS(Periodicos!$G:$G,1)</f>
        <v>0</v>
      </c>
      <c r="D43" s="132" t="n">
        <f aca="false">COUNT(Periodicos!$G:$G)</f>
        <v>8</v>
      </c>
      <c r="E43" s="119" t="n">
        <f aca="false">1-C43/D43</f>
        <v>1</v>
      </c>
    </row>
    <row r="44" customFormat="false" ht="15.75" hidden="false" customHeight="true" outlineLevel="0" collapsed="false">
      <c r="B44" s="120" t="s">
        <v>252</v>
      </c>
      <c r="C44" s="133" t="n">
        <f aca="false">COUNTIFS(Periodicos!$G:$G,1,Periodicos!$H:$H,1)</f>
        <v>0</v>
      </c>
      <c r="D44" s="133" t="n">
        <f aca="false">COUNTIFS(Periodicos!$H:$H,1)</f>
        <v>7</v>
      </c>
      <c r="E44" s="121" t="n">
        <f aca="false">1-C44/D44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2017-04-03T11:45:22Z</dcterms:created>
  <dc:creator>Eduardo Ogasawara</dc:creator>
  <dc:description/>
  <dc:language>en-US</dc:language>
  <cp:lastModifiedBy/>
  <dcterms:modified xsi:type="dcterms:W3CDTF">2023-12-17T17:25:57Z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0x01010027C70F2F856DFA4DB65445699C69C5BF</vt:lpwstr>
  </property>
  <property fmtid="{D5CDD505-2E9C-101B-9397-08002B2CF9AE}" pid="3" name="xd_Signature">
    <vt:bool>0</vt:bool>
  </property>
</Properties>
</file>